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wm4efQgd9lHDyXaqVEDF6qE1bWrSQtsgXYvdtnK8OwC3nFvrHunqjDA/G/pmYN5De/6a7jr6U+dzIugg0WwYAg==" workbookSaltValue="beOY3vK+SMrqK1AU/bUzh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M9" i="11"/>
  <c r="BH12" i="16"/>
  <c r="BK10" i="11"/>
  <c r="T13" i="20"/>
  <c r="BF15" i="8"/>
  <c r="BF9" i="8"/>
  <c r="AU18" i="21"/>
  <c r="S15" i="17"/>
  <c r="AH13" i="16"/>
  <c r="S16" i="17"/>
  <c r="L12" i="2"/>
  <c r="L17" i="2"/>
  <c r="X15" i="16"/>
  <c r="X18" i="16" s="1"/>
  <c r="V10" i="16"/>
  <c r="AP13" i="16"/>
  <c r="V9" i="16"/>
  <c r="T18" i="17"/>
  <c r="BG15" i="13"/>
  <c r="BE16" i="13"/>
  <c r="BE15" i="13"/>
  <c r="AX20" i="20"/>
  <c r="B18" i="7" l="1"/>
  <c r="S19" i="8"/>
  <c r="AB13" i="21"/>
  <c r="AB19" i="21" s="1"/>
  <c r="BG10" i="8"/>
  <c r="S17" i="17"/>
  <c r="BH10" i="16"/>
  <c r="BH10" i="11"/>
  <c r="AZ12" i="11"/>
  <c r="BU16" i="17"/>
  <c r="BW11" i="20"/>
  <c r="BU10" i="17"/>
  <c r="AP17" i="20"/>
  <c r="BG15" i="11"/>
  <c r="BI15" i="11"/>
  <c r="V11" i="11"/>
  <c r="BL17" i="11"/>
  <c r="BH17" i="16"/>
  <c r="AL16" i="11"/>
  <c r="C16" i="6"/>
  <c r="BE9" i="13"/>
  <c r="L9" i="2"/>
  <c r="U9" i="17"/>
  <c r="U19" i="17" s="1"/>
  <c r="X10" i="21"/>
  <c r="L16" i="2"/>
  <c r="L15" i="2"/>
  <c r="L10" i="2"/>
  <c r="BL16" i="11"/>
  <c r="BJ16" i="11"/>
  <c r="AQ12" i="21"/>
  <c r="BH16"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T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I11" i="12" l="1"/>
  <c r="J18" i="2"/>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L19" i="21"/>
  <c r="BF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<sst xmlns="http://schemas.openxmlformats.org/spreadsheetml/2006/main" count="2074" uniqueCount="909">
  <si>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</si>
  <si>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</si>
  <si>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</si>
  <si>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</si>
  <si>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</si>
  <si>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</si>
  <si>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</si>
  <si>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</si>
  <si>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</si>
  <si>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</si>
  <si>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</si>
  <si>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</si>
  <si>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</si>
  <si>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</si>
  <si>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</si>
  <si>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</si>
  <si>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</si>
  <si>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</si>
  <si>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</si>
  <si>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</si>
  <si>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</si>
  <si>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</si>
  <si>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</si>
  <si>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</si>
  <si>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</si>
  <si>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</si>
  <si>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</si>
  <si>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</si>
  <si>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</si>
  <si>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</si>
  <si>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</si>
  <si>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</si>
  <si>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</si>
  <si>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</si>
  <si>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</si>
  <si>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</si>
  <si>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</si>
  <si>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</si>
  <si>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</si>
  <si>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</si>
  <si>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</si>
  <si>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</si>
  <si>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</si>
  <si>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</si>
  <si>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</si>
  <si>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</si>
  <si>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</si>
  <si>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</si>
  <si>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</si>
  <si>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</si>
  <si>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</si>
  <si>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</si>
  <si>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</si>
  <si>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</si>
  <si>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</si>
  <si>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</si>
  <si>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</si>
  <si>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</si>
  <si>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</si>
  <si>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</si>
  <si>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</si>
  <si>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</si>
  <si>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</si>
  <si>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</si>
  <si>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</si>
  <si>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</si>
  <si>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</si>
  <si>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</si>
  <si>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</si>
  <si>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</si>
  <si>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</si>
  <si>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</si>
  <si>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</si>
  <si>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</si>
  <si>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</si>
  <si>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</si>
  <si>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</si>
  <si>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</si>
  <si>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</si>
  <si>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</si>
  <si>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</si>
  <si>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</si>
  <si>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</si>
  <si>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</si>
  <si>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</si>
  <si>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</si>
  <si>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</si>
  <si>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</si>
  <si>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</si>
  <si>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</si>
  <si>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</si>
  <si>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</si>
  <si>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</si>
  <si>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</si>
  <si>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</si>
  <si>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</si>
  <si>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</si>
  <si>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</si>
  <si>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</si>
  <si>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</si>
  <si>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</si>
  <si>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</si>
  <si>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</si>
  <si>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</si>
  <si>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</si>
  <si>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</si>
  <si>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</si>
  <si>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</si>
  <si>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</si>
  <si>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</si>
  <si>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</si>
  <si>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</si>
  <si>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</si>
  <si>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</si>
  <si>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</si>
  <si>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</si>
  <si>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</si>
  <si>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</si>
  <si>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</si>
  <si>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</si>
  <si>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</si>
  <si>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</si>
  <si>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</si>
  <si>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</si>
  <si>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</si>
  <si>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</si>
  <si>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</si>
  <si>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</si>
  <si>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</si>
  <si>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</si>
  <si>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</si>
  <si>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</si>
  <si>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</si>
  <si>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</si>
  <si>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</si>
  <si>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</si>
  <si>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</si>
  <si>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</si>
  <si>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</si>
  <si>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</si>
  <si>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</si>
  <si>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</si>
  <si>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</si>
  <si>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</si>
  <si>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</si>
  <si>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</si>
  <si>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</si>
  <si>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</si>
  <si>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</si>
  <si>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</si>
  <si>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</si>
  <si>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</si>
  <si>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</si>
  <si>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</si>
  <si>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</si>
  <si>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</si>
  <si>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</si>
  <si>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</si>
  <si>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</si>
  <si>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</si>
  <si>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</si>
  <si>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</si>
  <si>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</si>
  <si>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</si>
  <si>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</si>
  <si>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</si>
  <si>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</si>
  <si>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</si>
  <si>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</si>
  <si>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</si>
  <si>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</si>
  <si>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</si>
  <si>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</si>
  <si>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</si>
  <si>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</si>
  <si>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</si>
  <si>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</si>
  <si>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</si>
  <si>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</si>
  <si>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</si>
  <si>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</si>
  <si>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</si>
  <si>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</si>
  <si>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</si>
  <si>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</si>
  <si>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</si>
  <si>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</si>
  <si>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</si>
  <si>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</si>
  <si>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</si>
  <si>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</si>
  <si>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</si>
  <si>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</si>
  <si>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</si>
  <si>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</si>
  <si>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</si>
  <si>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</si>
  <si>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</si>
  <si>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</si>
  <si>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</si>
  <si>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</si>
  <si>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</si>
  <si>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</si>
  <si>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</si>
  <si>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</si>
  <si>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</si>
  <si>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</si>
  <si>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</si>
  <si>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</si>
  <si>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</si>
  <si>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</si>
  <si>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</si>
  <si>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</si>
  <si>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</si>
  <si>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</si>
  <si>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</si>
  <si>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</si>
  <si>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</si>
  <si>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</si>
  <si>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</si>
  <si>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</si>
  <si>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</si>
  <si>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</si>
  <si>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</si>
  <si>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</si>
  <si>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</si>
  <si>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</si>
  <si>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</si>
  <si>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</si>
  <si>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</si>
  <si>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</si>
  <si>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</si>
  <si>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</si>
  <si>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</si>
  <si>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</si>
  <si>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</si>
  <si>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</si>
  <si>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</si>
  <si>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</si>
  <si>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</si>
  <si>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</si>
  <si>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</si>
  <si>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</si>
  <si>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</si>
  <si>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</si>
  <si>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</si>
  <si>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</si>
  <si>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</si>
  <si>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</si>
  <si>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</si>
  <si>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</si>
  <si>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</si>
  <si>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</si>
  <si>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</si>
  <si>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</si>
  <si>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</si>
  <si>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</si>
  <si>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</si>
  <si>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</si>
  <si>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</si>
  <si>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</si>
  <si>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</si>
  <si>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</si>
  <si>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</si>
  <si>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</si>
  <si>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</si>
  <si>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</si>
  <si>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</si>
  <si>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</si>
  <si>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</si>
  <si>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</si>
  <si>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</si>
  <si>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</si>
  <si>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</si>
  <si>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</si>
  <si>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</si>
  <si>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</si>
  <si>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</si>
  <si>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</si>
  <si>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</si>
  <si>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</si>
  <si>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</si>
  <si>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</si>
  <si>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</si>
  <si>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</si>
  <si>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</si>
  <si>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</si>
  <si>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</si>
  <si>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</si>
  <si>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</si>
  <si>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</si>
  <si>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</si>
  <si>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</si>
  <si>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</si>
  <si>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</si>
  <si>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</si>
  <si>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</si>
  <si>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</si>
  <si>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</si>
  <si>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</si>
  <si>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</si>
  <si>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</si>
  <si>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</si>
  <si>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</si>
  <si>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</si>
  <si>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</si>
  <si>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</si>
  <si>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</si>
  <si>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</si>
  <si>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</si>
  <si>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</si>
  <si>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</si>
  <si>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</si>
  <si>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</si>
  <si>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</si>
  <si>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</si>
  <si>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</si>
  <si>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</si>
  <si>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</si>
  <si>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</si>
  <si>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</si>
  <si>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</si>
  <si>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</si>
  <si>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</si>
  <si>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</si>
  <si>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</si>
  <si>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</si>
  <si>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</si>
  <si>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</si>
  <si>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</si>
  <si>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</si>
  <si>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</si>
  <si>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</si>
  <si>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</si>
  <si>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</si>
  <si>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</si>
  <si>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</si>
  <si>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</si>
  <si>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</si>
  <si>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</si>
  <si>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</si>
  <si>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</si>
  <si>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</si>
  <si>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</si>
  <si>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</si>
  <si>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</si>
  <si>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</si>
  <si>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</si>
  <si>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</si>
  <si>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</si>
  <si>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</si>
  <si>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</si>
  <si>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</si>
  <si>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</si>
  <si>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</si>
  <si>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</si>
  <si>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</si>
  <si>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</si>
  <si>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</si>
  <si>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</si>
  <si>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</si>
  <si>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</si>
  <si>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</si>
  <si>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</si>
  <si>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</si>
  <si>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</si>
  <si>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</si>
  <si>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</si>
  <si>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</si>
  <si>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</si>
  <si>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</si>
  <si>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</si>
  <si>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</si>
  <si>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</si>
  <si>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</si>
  <si>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</si>
  <si>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</si>
  <si>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</si>
  <si>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</si>
  <si>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</si>
  <si>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</si>
  <si>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</si>
  <si>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</si>
  <si>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</si>
  <si>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</si>
  <si>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</si>
  <si>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</si>
  <si>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</si>
  <si>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</si>
  <si>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</si>
  <si>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</si>
  <si>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</si>
  <si>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</si>
  <si>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</si>
  <si>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</si>
  <si>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</si>
  <si>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</si>
  <si>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</si>
  <si>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</si>
  <si>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</si>
  <si>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</si>
  <si>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</si>
  <si>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</si>
  <si>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</si>
  <si>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</si>
  <si>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</si>
  <si>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</si>
  <si>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</si>
  <si>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</si>
  <si>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</si>
  <si>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</si>
  <si>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</si>
  <si>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</si>
  <si>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</si>
  <si>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</si>
  <si>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</si>
  <si>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</si>
  <si>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</si>
  <si>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</si>
  <si>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</si>
  <si>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</si>
  <si>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</si>
  <si>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</si>
  <si>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</si>
  <si>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</si>
  <si>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</si>
  <si>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</si>
  <si>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</si>
  <si>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</si>
  <si>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</si>
  <si>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</si>
  <si>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</si>
  <si>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</si>
  <si>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</si>
  <si>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</si>
  <si>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</si>
  <si>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</si>
  <si>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</si>
  <si>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</si>
  <si>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</si>
  <si>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</si>
  <si>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</si>
  <si>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</si>
  <si>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</si>
  <si>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</si>
  <si>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</si>
  <si>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</si>
  <si>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</si>
  <si>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</si>
  <si>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</si>
  <si>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</si>
  <si>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</si>
  <si>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</si>
  <si>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</si>
  <si>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</si>
  <si>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</si>
  <si>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</si>
  <si>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</si>
  <si>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</si>
  <si>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</si>
  <si>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</si>
  <si>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</si>
  <si>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</si>
  <si>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</si>
  <si>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</si>
  <si>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</si>
  <si>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</si>
  <si>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</si>
  <si>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</si>
  <si>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</si>
  <si>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</si>
  <si>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</si>
  <si>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</si>
  <si>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</si>
  <si>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</si>
  <si>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</si>
  <si>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</si>
  <si>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</si>
  <si>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</si>
  <si>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</si>
  <si>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</si>
  <si>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</si>
  <si>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</si>
  <si>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</si>
  <si>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</si>
  <si>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</si>
  <si>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</si>
  <si>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</si>
  <si>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</si>
  <si>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</si>
  <si>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</si>
  <si>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</si>
  <si>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</si>
  <si>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</si>
  <si>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</si>
  <si>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</si>
  <si>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</si>
  <si>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</si>
  <si>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</si>
  <si>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</si>
  <si>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</si>
  <si>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</si>
  <si>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</si>
  <si>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</si>
  <si>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</si>
  <si>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</si>
  <si>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</si>
  <si>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</si>
  <si>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</si>
  <si>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</si>
  <si>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</si>
  <si>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</si>
  <si>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</si>
  <si>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</si>
  <si>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</si>
  <si>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</si>
  <si>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</si>
  <si>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</si>
  <si>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</si>
  <si>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</si>
  <si>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</si>
  <si>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</si>
  <si>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</si>
  <si>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</si>
  <si>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</si>
  <si>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</si>
  <si>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</si>
  <si>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</si>
  <si>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</si>
  <si>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</si>
  <si>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</si>
  <si>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</si>
  <si>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</si>
  <si>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</si>
  <si>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</si>
  <si>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</si>
  <si>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</si>
  <si>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</si>
  <si>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</si>
  <si>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</si>
  <si>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</si>
  <si>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</si>
  <si>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</si>
  <si>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</si>
  <si>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</si>
  <si>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</si>
  <si>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</si>
  <si>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</si>
  <si>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</si>
  <si>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</si>
  <si>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</si>
  <si>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</si>
  <si>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</si>
  <si>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</si>
  <si>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</si>
  <si>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</si>
  <si>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</si>
  <si>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</si>
  <si>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</si>
  <si>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</si>
  <si>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</si>
  <si>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</si>
  <si>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</si>
  <si>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</si>
  <si>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</si>
  <si>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</si>
  <si>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</si>
  <si>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</si>
  <si>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</si>
  <si>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</si>
  <si>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</si>
  <si>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</si>
  <si>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</si>
  <si>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</si>
  <si>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</si>
  <si>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</si>
  <si>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</si>
  <si>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</si>
  <si>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</si>
  <si>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</si>
  <si>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</si>
  <si>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</si>
  <si>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</si>
  <si>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</si>
  <si>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</si>
  <si>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</si>
  <si>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</si>
  <si>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</si>
  <si>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</si>
  <si>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</si>
  <si>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</si>
  <si>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</si>
  <si>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</si>
  <si>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</si>
  <si>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</si>
  <si>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</si>
  <si>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</si>
  <si>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</si>
  <si>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</si>
  <si>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</si>
  <si>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</si>
  <si>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</si>
  <si>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</si>
  <si>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</si>
  <si>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</si>
  <si>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</si>
  <si>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</si>
  <si>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</si>
  <si>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</si>
  <si>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</si>
  <si>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</si>
  <si>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</si>
  <si>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</si>
  <si>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</si>
  <si>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</si>
  <si>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</si>
  <si>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</si>
  <si>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</si>
  <si>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</si>
  <si>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</si>
  <si>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</si>
  <si>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</si>
  <si>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</si>
  <si>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</si>
  <si>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</si>
  <si>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</si>
  <si>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</si>
  <si>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</si>
  <si>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</si>
  <si>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</si>
  <si>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</si>
  <si>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</si>
  <si>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</si>
  <si>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</si>
  <si>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</si>
  <si>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</si>
  <si>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</si>
  <si>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</si>
  <si>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</si>
  <si>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</si>
  <si>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</si>
  <si>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</si>
  <si>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</si>
  <si>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</si>
  <si>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</si>
  <si>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</si>
  <si>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</si>
  <si>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</si>
  <si>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</si>
  <si>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</si>
  <si>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</si>
  <si>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</si>
  <si>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</si>
  <si>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</si>
  <si>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</si>
  <si>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</si>
  <si>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</si>
  <si>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</si>
  <si>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</si>
  <si>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</si>
  <si>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</si>
  <si>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</si>
  <si>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</si>
  <si>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</si>
  <si>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</si>
  <si>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</si>
  <si>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</si>
  <si>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</si>
  <si>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</si>
  <si>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</si>
  <si>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</si>
  <si>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</si>
  <si>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</si>
  <si>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</si>
  <si>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</si>
  <si>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</si>
  <si>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</si>
  <si>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</si>
  <si>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</si>
  <si>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</si>
  <si>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</si>
  <si>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</si>
  <si>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</si>
  <si>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</si>
  <si>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</si>
  <si>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</si>
  <si>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</si>
  <si>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</si>
  <si>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</si>
  <si>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</si>
  <si>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</si>
  <si>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</si>
  <si>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</si>
  <si>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</si>
  <si>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</si>
  <si>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</si>
  <si>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</si>
  <si>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</si>
  <si>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</si>
  <si>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</si>
  <si>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</si>
  <si>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</si>
  <si>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</si>
  <si>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</si>
  <si>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</si>
  <si>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</si>
  <si>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</si>
  <si>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</si>
  <si>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</si>
  <si>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</si>
  <si>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</si>
  <si>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</si>
  <si>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</si>
  <si>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</si>
  <si>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</si>
  <si>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</si>
  <si>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</si>
  <si>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</si>
  <si>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</si>
  <si>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</si>
  <si>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</si>
  <si>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</si>
  <si>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</si>
  <si>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</si>
  <si>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</si>
  <si>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</si>
  <si>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</si>
  <si>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</si>
  <si>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</si>
  <si>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</si>
  <si>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</si>
  <si>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</si>
  <si>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</si>
  <si>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</si>
  <si>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</si>
  <si>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</si>
  <si>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</si>
  <si>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</si>
  <si>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</si>
  <si>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</si>
  <si>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</si>
  <si>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</si>
  <si>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</si>
  <si>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</si>
  <si>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</si>
  <si>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</si>
  <si>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</si>
  <si>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</si>
  <si>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</si>
  <si>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</si>
  <si>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</si>
  <si>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</si>
  <si>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</si>
  <si>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</si>
  <si>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</si>
  <si>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</si>
  <si>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</si>
  <si>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</si>
  <si>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</si>
  <si>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</si>
  <si>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</si>
  <si>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</si>
  <si>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</si>
  <si>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</si>
  <si>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</si>
  <si>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</si>
  <si>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</si>
  <si>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</si>
  <si>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</si>
  <si>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</si>
  <si>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</si>
  <si>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</si>
  <si>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</si>
  <si>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</si>
  <si>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</si>
  <si>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</si>
  <si>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</si>
  <si>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</si>
  <si>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</si>
  <si>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</si>
  <si>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</si>
  <si>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</si>
  <si>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</si>
  <si>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</si>
  <si>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</si>
  <si>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</si>
  <si>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</si>
  <si>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</si>
  <si>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</si>
  <si>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</si>
  <si>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</si>
  <si>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</si>
  <si>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</si>
  <si>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</si>
  <si>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</si>
  <si>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</si>
  <si>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</si>
  <si>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</si>
  <si>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</si>
  <si>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</si>
  <si>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</si>
  <si>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</si>
  <si>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</si>
  <si>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</si>
  <si>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</si>
  <si>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</si>
  <si>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</si>
  <si>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</si>
  <si>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</si>
  <si>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</si>
  <si>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</si>
  <si>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</si>
  <si>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</si>
  <si>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</si>
  <si>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</si>
  <si>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</si>
  <si>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</si>
  <si>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</si>
  <si>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</si>
  <si>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</si>
  <si>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</si>
  <si>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</si>
  <si>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</si>
  <si>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</si>
  <si>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</si>
  <si>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</si>
  <si>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</si>
  <si>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</si>
  <si>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</si>
  <si>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</si>
  <si>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</si>
  <si>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</si>
  <si>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</si>
  <si>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</si>
  <si>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</si>
  <si>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</si>
  <si>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</si>
  <si>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</si>
  <si>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</si>
  <si>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</si>
  <si>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</si>
  <si>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</si>
  <si>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</si>
  <si>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</si>
  <si>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</si>
  <si>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</si>
  <si>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</si>
  <si>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</si>
  <si>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</si>
  <si>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</si>
  <si>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</si>
  <si>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</si>
  <si>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</si>
  <si>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</si>
  <si>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</si>
  <si>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</si>
  <si>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</si>
  <si>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</si>
  <si>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</si>
  <si>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</si>
  <si>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</si>
  <si>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</si>
  <si>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</si>
  <si>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</si>
  <si>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</si>
  <si>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</si>
  <si>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</si>
  <si>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</si>
  <si>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</si>
  <si>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</si>
  <si>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</si>
  <si>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</si>
  <si>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</si>
  <si>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</si>
  <si>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</si>
  <si>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</si>
  <si>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</si>
  <si>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</si>
  <si>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</si>
  <si>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</si>
  <si>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</si>
  <si>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</si>
  <si>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</si>
  <si>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</si>
  <si>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</si>
  <si>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</si>
  <si>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</si>
  <si>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</si>
  <si>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</si>
  <si>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</si>
  <si>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</si>
  <si>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</si>
  <si>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</si>
  <si>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</si>
  <si>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</si>
  <si>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</si>
  <si>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</si>
  <si>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</si>
  <si>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</si>
  <si>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</si>
  <si>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</si>
  <si>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</si>
  <si>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</si>
  <si>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</si>
  <si>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</si>
  <si>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</si>
  <si>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A CORUÑA</t>
  </si>
  <si>
    <t>Resumenes por Partidos Judiciales</t>
  </si>
  <si>
    <t>SANTIAGO DE COMPOSTELA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</si>
</sst>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902</v>
      </c>
      <c r="B4" s="366"/>
      <c r="C4" s="366"/>
      <c r="D4" s="366"/>
      <c r="E4" s="366"/>
      <c r="F4" s="2"/>
      <c r="Q4" s="346">
        <v>2</v>
      </c>
      <c r="R4" s="346">
        <v>3</v>
      </c>
      <c r="S4" t="b">
        <f>AND(Q4&gt;=TrimIni,Q4&lt;=TrimFin)</f>
        <v>0</v>
      </c>
    </row>
    <row r="5" spans="1:19" ht="15.75" thickBot="1">
      <c r="A5" s="368" t="s">
        <v>37</v>
      </c>
      <c r="B5" s="369">
        <v>2024</v>
      </c>
      <c r="C5" s="370" t="s">
        <v>211</v>
      </c>
      <c r="D5" s="371">
        <v>4</v>
      </c>
      <c r="E5" s="372"/>
      <c r="F5" s="3"/>
      <c r="H5" t="s">
        <v>420</v>
      </c>
      <c r="Q5" s="346">
        <v>3</v>
      </c>
      <c r="R5" s="346">
        <v>2</v>
      </c>
      <c r="S5" t="b">
        <f>AND(Q5&gt;=TrimIni,Q5&lt;=TrimFin)</f>
        <v>0</v>
      </c>
    </row>
    <row r="6" spans="1:19" ht="15">
      <c r="A6" s="373"/>
      <c r="B6" s="372"/>
      <c r="C6" s="370" t="s">
        <v>212</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908</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kk8gjQLKwZr0nO3uHLfX3M5x4/0wl471HLZeXUG+HcRFWBmod/gLLCd7XzZKB8PDu2OuHRS3PWJ2IK+MtR0mg==" saltValue="Su67Ebqvdldu9pyoMMXMF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GALICIA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4 al 4</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34.930362116991645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103</v>
      </c>
      <c r="D10" s="225">
        <f>IF(ISNUMBER(Datos!I10),Datos!I10," - ")</f>
        <v>103</v>
      </c>
      <c r="E10" s="226">
        <f>IF(ISNUMBER(Datos!J10),Datos!J10," - ")</f>
        <v>21</v>
      </c>
      <c r="F10" s="226">
        <f>IF(ISNUMBER(Datos!K10),Datos!K10," - ")</f>
        <v>34</v>
      </c>
      <c r="G10" s="1034" t="str">
        <f>IF(Datos!E10&lt;&gt;"",Datos!E10,Datos!D10)</f>
        <v>37</v>
      </c>
      <c r="H10" s="227">
        <f>IF(ISNUMBER(Datos!L10),Datos!L10," - ")</f>
        <v>90</v>
      </c>
      <c r="I10" s="1044" t="str">
        <f>IF(ISNUMBER(Datos!AS10/Datos!BM10),Datos!AS10/Datos!BM10," - ")</f>
        <v xml:space="preserve"> - </v>
      </c>
      <c r="J10" s="1045">
        <f>IF(ISNUMBER(Datos!BY10/Datos!CN10),Datos!BY10/Datos!CN10," - ")</f>
        <v>0</v>
      </c>
      <c r="K10" s="230">
        <f t="shared" ref="K10:K12" si="1">IF(ISNUMBER((E10-F10)/C10),(E10-F10)/C10," - ")</f>
        <v>-0.12621359223300971</v>
      </c>
      <c r="L10" s="1025">
        <f>IF(ISNUMBER(NºAsuntos!I10/NºAsuntos!G10),(NºAsuntos!I10/NºAsuntos!G10)*11," - ")</f>
        <v>29.117647058823529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16.846678023850085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103</v>
      </c>
      <c r="D13" s="1049">
        <f>SUBTOTAL(9,D9:D12)</f>
        <v>103</v>
      </c>
      <c r="E13" s="1050">
        <f>SUBTOTAL(9,E9:E12)</f>
        <v>21</v>
      </c>
      <c r="F13" s="1051">
        <f>SUBTOTAL(9,F9:F12)</f>
        <v>34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2936</v>
      </c>
      <c r="D15" s="225">
        <f>IF(ISNUMBER(IF(D_I="SI",Datos!I15,Datos!I15+Datos!AC15)),IF(D_I="SI",Datos!I15,Datos!I15+Datos!AC15)," - ")</f>
        <v>2932</v>
      </c>
      <c r="E15" s="226">
        <f>IF(ISNUMBER(IF(D_I="SI",Datos!J15,Datos!J15+Datos!AD15)),IF(D_I="SI",Datos!J15,Datos!J15+Datos!AD15)," - ")</f>
        <v>2089</v>
      </c>
      <c r="F15" s="226">
        <f>IF(ISNUMBER(IF(D_I="SI",Datos!K15,Datos!K15+Datos!AE15)),IF(D_I="SI",Datos!K15,Datos!K15+Datos!AE15)," - ")</f>
        <v>1879</v>
      </c>
      <c r="G15" s="1034" t="str">
        <f>IF(Datos!E15&lt;&gt;"",Datos!E15,Datos!D15)</f>
        <v>03</v>
      </c>
      <c r="H15" s="227">
        <f>IF(ISNUMBER(IF(D_I="SI",Datos!L15,Datos!L15+Datos!AF15)),IF(D_I="SI",Datos!L15,Datos!L15+Datos!AF15)," - ")</f>
        <v>3146</v>
      </c>
      <c r="I15" s="1044" t="str">
        <f>IF(ISNUMBER(Datos!AS15/Datos!BM15),Datos!AS15/Datos!BM15," - ")</f>
        <v xml:space="preserve"> - </v>
      </c>
      <c r="J15" s="1045">
        <f>IF(ISNUMBER(Datos!BY15/Datos!CN15),Datos!BY15/Datos!CN15," - ")</f>
        <v>0</v>
      </c>
      <c r="K15" s="230">
        <f t="shared" ref="K15:K17" si="3">IF(ISNUMBER((E15-F15)/C15),(E15-F15)/C15," - ")</f>
        <v>7.1525885558583108E-2</v>
      </c>
      <c r="L15" s="1025">
        <f>IF(ISNUMBER(NºAsuntos!I15/NºAsuntos!G15),(NºAsuntos!I15/NºAsuntos!G15)*11," - ")</f>
        <v>18.417243214475786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327</v>
      </c>
      <c r="D17" s="225">
        <f>IF(ISNUMBER(IF(D_I="SI",Datos!I17,Datos!I17+Datos!AC17)),IF(D_I="SI",Datos!I17,Datos!I17+Datos!AC17)," - ")</f>
        <v>327</v>
      </c>
      <c r="E17" s="226">
        <f>IF(ISNUMBER(IF(D_I="SI",Datos!J17,Datos!J17+Datos!AD17)),IF(D_I="SI",Datos!J17,Datos!J17+Datos!AD17)," - ")</f>
        <v>93</v>
      </c>
      <c r="F17" s="226">
        <f>IF(ISNUMBER(IF(D_I="SI",Datos!K17,Datos!K17+Datos!AE17)),IF(D_I="SI",Datos!K17,Datos!K17+Datos!AE17)," - ")</f>
        <v>89</v>
      </c>
      <c r="G17" s="1034" t="str">
        <f>IF(Datos!E17&lt;&gt;"",Datos!E17,Datos!D17)</f>
        <v>37</v>
      </c>
      <c r="H17" s="227">
        <f>IF(ISNUMBER(IF(D_I="SI",Datos!L17,Datos!L17+Datos!AF17)),IF(D_I="SI",Datos!L17,Datos!L17+Datos!AF17)," - ")</f>
        <v>331</v>
      </c>
      <c r="I17" s="1044" t="str">
        <f>IF(ISNUMBER(Datos!AS17/Datos!BM17),Datos!AS17/Datos!BM17," - ")</f>
        <v xml:space="preserve"> - </v>
      </c>
      <c r="J17" s="1045" t="str">
        <f>IF(ISNUMBER((Datos!BY17+Datos!BZ17)/Datos!CN17),(Datos!BY17+Datos!BZ17)/Datos!CN17," - ")</f>
        <v xml:space="preserve"> - </v>
      </c>
      <c r="K17" s="230">
        <f t="shared" si="3"/>
        <v>1.2232415902140673E-2</v>
      </c>
      <c r="L17" s="1025">
        <f>IF(ISNUMBER(NºAsuntos!I17/NºAsuntos!G17),(NºAsuntos!I17/NºAsuntos!G17)*11," - ")</f>
        <v>40.91011235955056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3263</v>
      </c>
      <c r="D18" s="1049">
        <f>SUBTOTAL(9,D15:D17)</f>
        <v>3259</v>
      </c>
      <c r="E18" s="1050">
        <f>SUBTOTAL(9,E15:E17)</f>
        <v>2182</v>
      </c>
      <c r="F18" s="1050">
        <f>SUBTOTAL(9,F15:F17)</f>
        <v>1968</v>
      </c>
      <c r="G18" s="1052" t="str">
        <f ca="1">INDIRECT(CONCATENATE("G",ROW()-1))</f>
        <v>37</v>
      </c>
      <c r="H18" s="1053">
        <f ca="1">SUMIF(G$14:G17,G18,H$14:H17)</f>
        <v>331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3366</v>
      </c>
      <c r="D19" s="1071">
        <f>SUBTOTAL(9,D9:D18)</f>
        <v>3362</v>
      </c>
      <c r="E19" s="1072">
        <f>SUBTOTAL(9,E9:E18)</f>
        <v>2203</v>
      </c>
      <c r="F19" s="1072">
        <f>SUBTOTAL(9,F9:F18)</f>
        <v>2002</v>
      </c>
      <c r="G19" s="1073"/>
      <c r="H19" s="1074">
        <f ca="1">SUMIF(B9:B18,"TOTAL",H9:H18)</f>
        <v>331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kcBstFfe0yEIjFZqTFJcQPlYZtqHaKC4iKMfSwduLA+mRYyArNlFti4vcV/xZlFL8OibDa3ZRGeV4POK6DLQ3g==" saltValue="+vZnpP+SyUg5QA5ifp9O1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uMkLSpRf0XOwRbNcnCJgEu0m3Pu2+qZez+3A+OAezClIZaKTZqIkNBzYrmqy3aR6ZojdSbhN/YDLzD7tWp/QxA==" saltValue="B1bCJQhDsaQAdDqRbqnfg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6360</v>
      </c>
      <c r="J9" s="181">
        <v>2427</v>
      </c>
      <c r="K9" s="181">
        <v>2057</v>
      </c>
      <c r="L9" s="181">
        <v>6730</v>
      </c>
      <c r="M9" s="181">
        <v>628</v>
      </c>
      <c r="N9" s="181">
        <v>832</v>
      </c>
      <c r="O9" s="181">
        <v>888</v>
      </c>
      <c r="P9" s="181">
        <v>407</v>
      </c>
      <c r="Q9" s="181">
        <v>260</v>
      </c>
      <c r="R9" s="181">
        <v>5971</v>
      </c>
      <c r="S9" s="181">
        <v>4612</v>
      </c>
      <c r="T9" s="181">
        <v>2353</v>
      </c>
      <c r="U9" s="181">
        <v>1693</v>
      </c>
      <c r="V9" s="181">
        <v>5272</v>
      </c>
      <c r="W9" s="181">
        <v>457</v>
      </c>
      <c r="X9" s="188">
        <v>691</v>
      </c>
      <c r="Y9" s="191">
        <v>99</v>
      </c>
      <c r="Z9" s="181">
        <v>108</v>
      </c>
      <c r="AA9" s="181">
        <v>97</v>
      </c>
      <c r="AB9" s="181">
        <v>110</v>
      </c>
      <c r="AC9" s="181">
        <v>0</v>
      </c>
      <c r="AD9" s="181">
        <v>0</v>
      </c>
      <c r="AE9" s="181">
        <v>0</v>
      </c>
      <c r="AF9" s="188">
        <v>0</v>
      </c>
      <c r="AG9" s="191">
        <v>119</v>
      </c>
      <c r="AH9" s="181">
        <v>107</v>
      </c>
      <c r="AI9" s="181">
        <v>105</v>
      </c>
      <c r="AJ9" s="192">
        <v>121</v>
      </c>
      <c r="AK9" s="180">
        <v>0</v>
      </c>
      <c r="AL9" s="181">
        <v>0</v>
      </c>
      <c r="AM9" s="181">
        <v>0</v>
      </c>
      <c r="AN9" s="188">
        <v>0</v>
      </c>
      <c r="AO9" s="258">
        <v>5</v>
      </c>
      <c r="AP9" s="154">
        <v>5</v>
      </c>
      <c r="AQ9" s="154">
        <v>5</v>
      </c>
      <c r="AR9" s="193">
        <v>5</v>
      </c>
      <c r="AS9" s="338" t="s">
        <v>794</v>
      </c>
      <c r="AT9" s="195"/>
      <c r="AU9" s="194"/>
      <c r="AV9" s="195"/>
      <c r="AW9" s="194"/>
      <c r="AX9" s="195"/>
      <c r="AY9" s="123">
        <f>IF(ISNUMBER(IF(J_V="SI",S9,S9+AG9)),IF(J_V="SI",S9,S9+AG9)," - ")</f>
        <v>4731</v>
      </c>
      <c r="AZ9" s="123">
        <f>IF(ISNUMBER(IF(J_V="SI",T9,T9+AH9)),IF(J_V="SI",T9,T9+AH9)," - ")</f>
        <v>2460</v>
      </c>
      <c r="BA9" s="124">
        <f>IF(ISNUMBER(IF(J_V="SI",U9,U9+AI9)),IF(J_V="SI",U9,U9+AI9)," - ")</f>
        <v>1798</v>
      </c>
      <c r="BB9" s="124">
        <f>IF(ISNUMBER(IF(J_V="SI",V9,V9+AJ9)),IF(J_V="SI",V9,V9+AJ9)," - ")</f>
        <v>5393</v>
      </c>
      <c r="BC9" s="125">
        <f>IF(ISNUMBER(X9),X9," - ")</f>
        <v>691</v>
      </c>
      <c r="BD9" s="126">
        <f>IF(ISNUMBER(BA9/AZ9),BA9/AZ9," - ")</f>
        <v>0.73089430894308938</v>
      </c>
      <c r="BE9" s="127">
        <f>IF(ISNUMBER(BB9/BA9),BB9/BA9, " - ")</f>
        <v>2.9994438264738599</v>
      </c>
      <c r="BF9" s="127">
        <f>IF(ISNUMBER(BC9/BA9),BC9/BA9, " - ")</f>
        <v>0.38431590656284759</v>
      </c>
      <c r="BG9" s="196">
        <f>IF(ISNUMBER((AY9+AZ9)/BA9),(AY9+AZ9)/BA9," - ")</f>
        <v>3.9994438264738599</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103</v>
      </c>
      <c r="J10" s="181">
        <v>21</v>
      </c>
      <c r="K10" s="181">
        <v>34</v>
      </c>
      <c r="L10" s="181">
        <v>90</v>
      </c>
      <c r="M10" s="181">
        <v>5</v>
      </c>
      <c r="N10" s="181">
        <v>4</v>
      </c>
      <c r="O10" s="181">
        <v>11</v>
      </c>
      <c r="P10" s="181">
        <v>8</v>
      </c>
      <c r="Q10" s="181">
        <v>5</v>
      </c>
      <c r="R10" s="181">
        <v>48</v>
      </c>
      <c r="S10" s="181">
        <v>99</v>
      </c>
      <c r="T10" s="181">
        <v>45</v>
      </c>
      <c r="U10" s="181">
        <v>28</v>
      </c>
      <c r="V10" s="181">
        <v>116</v>
      </c>
      <c r="W10" s="181">
        <v>12</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788</v>
      </c>
      <c r="AT10" s="192"/>
      <c r="AU10" s="200"/>
      <c r="AV10" s="192"/>
      <c r="AW10" s="200"/>
      <c r="AX10" s="192"/>
      <c r="AY10" s="128">
        <f t="shared" ref="AY10:BC10" si="0">IF(ISNUMBER(S10),S10," - ")</f>
        <v>99</v>
      </c>
      <c r="AZ10" s="129">
        <f t="shared" si="0"/>
        <v>45</v>
      </c>
      <c r="BA10" s="129">
        <f t="shared" si="0"/>
        <v>28</v>
      </c>
      <c r="BB10" s="129">
        <f t="shared" si="0"/>
        <v>116</v>
      </c>
      <c r="BC10" s="125">
        <f t="shared" si="0"/>
        <v>12</v>
      </c>
      <c r="BD10" s="126">
        <f>IF(ISNUMBER(BA10/AZ10),BA10/AZ10," - ")</f>
        <v>0.62222222222222223</v>
      </c>
      <c r="BE10" s="127">
        <f>IF(ISNUMBER(BB10/BA10),BB10/BA10, " - ")</f>
        <v>4.1428571428571432</v>
      </c>
      <c r="BF10" s="127">
        <f>IF(ISNUMBER(BC10/BA10),BC10/BA10, " - ")</f>
        <v>0.42857142857142855</v>
      </c>
      <c r="BG10" s="196">
        <f>IF(ISNUMBER((AY10+AZ10)/BA10),(AY10+AZ10)/BA10," - ")</f>
        <v>5.1428571428571432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761</v>
      </c>
      <c r="J11" s="183">
        <v>282</v>
      </c>
      <c r="K11" s="183">
        <v>240</v>
      </c>
      <c r="L11" s="183">
        <v>803</v>
      </c>
      <c r="M11" s="183">
        <v>106</v>
      </c>
      <c r="N11" s="183">
        <v>366</v>
      </c>
      <c r="O11" s="181">
        <v>97</v>
      </c>
      <c r="P11" s="183">
        <v>25</v>
      </c>
      <c r="Q11" s="183">
        <v>12</v>
      </c>
      <c r="R11" s="183">
        <v>421</v>
      </c>
      <c r="S11" s="183">
        <v>695</v>
      </c>
      <c r="T11" s="183">
        <v>318</v>
      </c>
      <c r="U11" s="183">
        <v>259</v>
      </c>
      <c r="V11" s="183">
        <v>754</v>
      </c>
      <c r="W11" s="183">
        <v>103</v>
      </c>
      <c r="X11" s="189">
        <v>341</v>
      </c>
      <c r="Y11" s="191">
        <v>95</v>
      </c>
      <c r="Z11" s="181">
        <v>348</v>
      </c>
      <c r="AA11" s="181">
        <v>347</v>
      </c>
      <c r="AB11" s="181">
        <v>96</v>
      </c>
      <c r="AC11" s="183">
        <v>0</v>
      </c>
      <c r="AD11" s="183">
        <v>0</v>
      </c>
      <c r="AE11" s="183">
        <v>0</v>
      </c>
      <c r="AF11" s="189">
        <v>0</v>
      </c>
      <c r="AG11" s="202">
        <v>164</v>
      </c>
      <c r="AH11" s="183">
        <v>196</v>
      </c>
      <c r="AI11" s="183">
        <v>171</v>
      </c>
      <c r="AJ11" s="203">
        <v>189</v>
      </c>
      <c r="AK11" s="182">
        <v>0</v>
      </c>
      <c r="AL11" s="183">
        <v>0</v>
      </c>
      <c r="AM11" s="183">
        <v>0</v>
      </c>
      <c r="AN11" s="189">
        <v>0</v>
      </c>
      <c r="AO11" s="259">
        <v>1</v>
      </c>
      <c r="AP11" s="155">
        <v>1</v>
      </c>
      <c r="AQ11" s="155">
        <v>1</v>
      </c>
      <c r="AR11" s="154">
        <v>1</v>
      </c>
      <c r="AS11" s="340" t="s">
        <v>795</v>
      </c>
      <c r="AT11" s="203"/>
      <c r="AU11" s="202"/>
      <c r="AV11" s="203"/>
      <c r="AW11" s="202"/>
      <c r="AX11" s="203"/>
      <c r="AY11" s="126">
        <f t="shared" ref="AY11:BB12" si="1">IF(ISNUMBER(IF(J_V="SI",S11,S11+AG11)),IF(J_V="SI",S11,S11+AG11)," - ")</f>
        <v>859</v>
      </c>
      <c r="AZ11" s="127">
        <f t="shared" si="1"/>
        <v>514</v>
      </c>
      <c r="BA11" s="127">
        <f t="shared" si="1"/>
        <v>430</v>
      </c>
      <c r="BB11" s="127">
        <f t="shared" si="1"/>
        <v>943</v>
      </c>
      <c r="BC11" s="125">
        <f>IF(ISNUMBER(X11),X11," - ")</f>
        <v>341</v>
      </c>
      <c r="BD11" s="126">
        <f t="shared" ref="BD11:BD12" si="2">IF(ISNUMBER(BA11/AZ11),BA11/AZ11," - ")</f>
        <v>0.83657587548638135</v>
      </c>
      <c r="BE11" s="127">
        <f t="shared" ref="BE11:BE12" si="3">IF(ISNUMBER(BB11/BA11),BB11/BA11, " - ")</f>
        <v>2.1930232558139533</v>
      </c>
      <c r="BF11" s="127">
        <f t="shared" ref="BF11:BF12" si="4">IF(ISNUMBER(BC11/BA11),BC11/BA11, " - ")</f>
        <v>0.7930232558139535</v>
      </c>
      <c r="BG11" s="196">
        <f t="shared" ref="BG11:BG12" si="5">IF(ISNUMBER((AY11+AZ11)/BA11),(AY11+AZ11)/BA11," - ")</f>
        <v>3.1930232558139533</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0</v>
      </c>
      <c r="J12" s="183">
        <v>0</v>
      </c>
      <c r="K12" s="183">
        <v>0</v>
      </c>
      <c r="L12" s="183">
        <v>0</v>
      </c>
      <c r="M12" s="183">
        <v>0</v>
      </c>
      <c r="N12" s="183">
        <v>0</v>
      </c>
      <c r="O12" s="181">
        <v>0</v>
      </c>
      <c r="P12" s="183">
        <v>0</v>
      </c>
      <c r="Q12" s="183">
        <v>0</v>
      </c>
      <c r="R12" s="183">
        <v>56</v>
      </c>
      <c r="S12" s="183">
        <v>1</v>
      </c>
      <c r="T12" s="183">
        <v>0</v>
      </c>
      <c r="U12" s="183">
        <v>0</v>
      </c>
      <c r="V12" s="183">
        <v>1</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1</v>
      </c>
      <c r="AZ12" s="127">
        <f t="shared" si="1"/>
        <v>0</v>
      </c>
      <c r="BA12" s="127">
        <f t="shared" si="1"/>
        <v>0</v>
      </c>
      <c r="BB12" s="127">
        <f t="shared" si="1"/>
        <v>1</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7224</v>
      </c>
      <c r="J13" s="184">
        <f t="shared" si="6"/>
        <v>2730</v>
      </c>
      <c r="K13" s="184">
        <f t="shared" si="6"/>
        <v>2331</v>
      </c>
      <c r="L13" s="184">
        <f t="shared" si="6"/>
        <v>7623</v>
      </c>
      <c r="M13" s="184">
        <f t="shared" si="6"/>
        <v>739</v>
      </c>
      <c r="N13" s="184">
        <f t="shared" si="6"/>
        <v>1202</v>
      </c>
      <c r="O13" s="184">
        <f t="shared" si="6"/>
        <v>996</v>
      </c>
      <c r="P13" s="184">
        <f t="shared" si="6"/>
        <v>440</v>
      </c>
      <c r="Q13" s="184">
        <f t="shared" si="6"/>
        <v>277</v>
      </c>
      <c r="R13" s="184">
        <f t="shared" si="6"/>
        <v>6496</v>
      </c>
      <c r="S13" s="184">
        <f t="shared" si="6"/>
        <v>5407</v>
      </c>
      <c r="T13" s="184">
        <f t="shared" si="6"/>
        <v>2716</v>
      </c>
      <c r="U13" s="184">
        <f t="shared" si="6"/>
        <v>1980</v>
      </c>
      <c r="V13" s="184">
        <f t="shared" si="6"/>
        <v>6143</v>
      </c>
      <c r="W13" s="184">
        <f t="shared" si="6"/>
        <v>572</v>
      </c>
      <c r="X13" s="184">
        <f t="shared" si="6"/>
        <v>1043</v>
      </c>
      <c r="Y13" s="184">
        <f t="shared" si="6"/>
        <v>194</v>
      </c>
      <c r="Z13" s="184">
        <f t="shared" si="6"/>
        <v>456</v>
      </c>
      <c r="AA13" s="184">
        <f t="shared" si="6"/>
        <v>444</v>
      </c>
      <c r="AB13" s="184">
        <f t="shared" si="6"/>
        <v>206</v>
      </c>
      <c r="AC13" s="184">
        <f t="shared" si="6"/>
        <v>0</v>
      </c>
      <c r="AD13" s="184">
        <f t="shared" si="6"/>
        <v>0</v>
      </c>
      <c r="AE13" s="184">
        <f t="shared" si="6"/>
        <v>0</v>
      </c>
      <c r="AF13" s="184">
        <f>SUBTOTAL(9,AF9:AF12)</f>
        <v>0</v>
      </c>
      <c r="AG13" s="184">
        <f t="shared" ref="AG13:AT13" si="7">SUBTOTAL(9,AG8:AG12)</f>
        <v>283</v>
      </c>
      <c r="AH13" s="184">
        <f t="shared" si="7"/>
        <v>303</v>
      </c>
      <c r="AI13" s="184">
        <f t="shared" si="7"/>
        <v>276</v>
      </c>
      <c r="AJ13" s="184">
        <f t="shared" si="7"/>
        <v>310</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5690</v>
      </c>
      <c r="AZ13" s="184">
        <f>SUBTOTAL(9,AZ8:AZ12)</f>
        <v>3019</v>
      </c>
      <c r="BA13" s="184">
        <f>SUBTOTAL(9,BA8:BA12)</f>
        <v>2256</v>
      </c>
      <c r="BB13" s="184">
        <f>SUBTOTAL(9,BB8:BB12)</f>
        <v>6453</v>
      </c>
      <c r="BC13" s="184">
        <f>SUBTOTAL(9,BC8:BC12)</f>
        <v>1044</v>
      </c>
      <c r="BD13" s="205">
        <f>IF(ISNUMBER(BA13/AZ13),BA13/AZ13," - ")</f>
        <v>0.7472673070553163</v>
      </c>
      <c r="BE13" s="206">
        <f>IF(ISNUMBER(BB13/BA13),BB13/BA13, " - ")</f>
        <v>2.8603723404255321</v>
      </c>
      <c r="BF13" s="206">
        <f>IF(ISNUMBER(BC13/BA13),BC13/BA13, " - ")</f>
        <v>0.46276595744680848</v>
      </c>
      <c r="BG13" s="207">
        <f>IF(ISNUMBER((AY13+AZ13)/BA13),(AY13+AZ13)/BA13," - ")</f>
        <v>3.8603723404255321</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2932</v>
      </c>
      <c r="J15" s="183">
        <v>2089</v>
      </c>
      <c r="K15" s="183">
        <v>1879</v>
      </c>
      <c r="L15" s="183">
        <v>3146</v>
      </c>
      <c r="M15" s="183">
        <v>259</v>
      </c>
      <c r="N15" s="183">
        <v>1066</v>
      </c>
      <c r="O15" s="181">
        <v>64</v>
      </c>
      <c r="P15" s="183">
        <v>88</v>
      </c>
      <c r="Q15" s="183">
        <v>91</v>
      </c>
      <c r="R15" s="183">
        <v>322</v>
      </c>
      <c r="S15" s="183">
        <v>2319</v>
      </c>
      <c r="T15" s="183">
        <v>2266</v>
      </c>
      <c r="U15" s="183">
        <v>2177</v>
      </c>
      <c r="V15" s="183">
        <v>2418</v>
      </c>
      <c r="W15" s="183">
        <v>253</v>
      </c>
      <c r="X15" s="189">
        <v>1056</v>
      </c>
      <c r="Y15" s="202">
        <v>0</v>
      </c>
      <c r="Z15" s="183">
        <v>0</v>
      </c>
      <c r="AA15" s="183">
        <v>0</v>
      </c>
      <c r="AB15" s="183">
        <v>0</v>
      </c>
      <c r="AC15" s="183">
        <v>0</v>
      </c>
      <c r="AD15" s="183">
        <v>4</v>
      </c>
      <c r="AE15" s="183">
        <v>4</v>
      </c>
      <c r="AF15" s="189">
        <v>0</v>
      </c>
      <c r="AG15" s="202">
        <v>0</v>
      </c>
      <c r="AH15" s="183">
        <v>0</v>
      </c>
      <c r="AI15" s="183">
        <v>0</v>
      </c>
      <c r="AJ15" s="203">
        <v>0</v>
      </c>
      <c r="AK15" s="182">
        <v>0</v>
      </c>
      <c r="AL15" s="183">
        <v>12</v>
      </c>
      <c r="AM15" s="183">
        <v>11</v>
      </c>
      <c r="AN15" s="189">
        <v>1</v>
      </c>
      <c r="AO15" s="259">
        <v>3</v>
      </c>
      <c r="AP15" s="155">
        <v>3</v>
      </c>
      <c r="AQ15" s="155">
        <v>3</v>
      </c>
      <c r="AR15" s="155">
        <v>3</v>
      </c>
      <c r="AS15" s="340" t="s">
        <v>522</v>
      </c>
      <c r="AT15" s="203" t="s">
        <v>322</v>
      </c>
      <c r="AU15" s="202"/>
      <c r="AV15" s="203"/>
      <c r="AW15" s="202"/>
      <c r="AX15" s="203"/>
      <c r="AY15" s="128">
        <f t="shared" ref="AY15:BB16" si="9">IF(ISNUMBER(IF(D_I="SI",S15,S15+AK15)),IF(D_I="SI",S15,S15+AK15)," - ")</f>
        <v>2319</v>
      </c>
      <c r="AZ15" s="129">
        <f t="shared" si="9"/>
        <v>2266</v>
      </c>
      <c r="BA15" s="129">
        <f t="shared" si="9"/>
        <v>2177</v>
      </c>
      <c r="BB15" s="129">
        <f t="shared" si="9"/>
        <v>2418</v>
      </c>
      <c r="BC15" s="125">
        <f>IF(ISNUMBER(W15),W15," - ")</f>
        <v>253</v>
      </c>
      <c r="BD15" s="126">
        <f>IF(ISNUMBER(BA15/AZ15),BA15/AZ15," - ")</f>
        <v>0.9607237422771403</v>
      </c>
      <c r="BE15" s="127">
        <f>IF(ISNUMBER(BB15/BA15),BB15/BA15, " - ")</f>
        <v>1.11070280202113</v>
      </c>
      <c r="BF15" s="127">
        <f>IF(ISNUMBER(BC15/BA15),BC15/BA15, " - ")</f>
        <v>0.11621497473587505</v>
      </c>
      <c r="BG15" s="196">
        <f t="shared" ref="BG15:BG16" si="10">IF(ISNUMBER((AY15+AZ15)/BA15),(AY15+AZ15)/BA15," - ")</f>
        <v>2.1061093247588425</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327</v>
      </c>
      <c r="J17" s="183">
        <v>93</v>
      </c>
      <c r="K17" s="183">
        <v>89</v>
      </c>
      <c r="L17" s="183">
        <v>331</v>
      </c>
      <c r="M17" s="183">
        <v>9</v>
      </c>
      <c r="N17" s="183">
        <v>41</v>
      </c>
      <c r="O17" s="183">
        <v>0</v>
      </c>
      <c r="P17" s="183">
        <v>2</v>
      </c>
      <c r="Q17" s="183">
        <v>0</v>
      </c>
      <c r="R17" s="183">
        <v>2</v>
      </c>
      <c r="S17" s="183">
        <v>185</v>
      </c>
      <c r="T17" s="183">
        <v>150</v>
      </c>
      <c r="U17" s="183">
        <v>122</v>
      </c>
      <c r="V17" s="183">
        <v>213</v>
      </c>
      <c r="W17" s="183">
        <v>21</v>
      </c>
      <c r="X17" s="189">
        <v>39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787</v>
      </c>
      <c r="AT17" s="209"/>
      <c r="AU17" s="200"/>
      <c r="AV17" s="209"/>
      <c r="AW17" s="200"/>
      <c r="AX17" s="209"/>
      <c r="AY17" s="128">
        <f t="shared" ref="AY17:BB17" si="14">IF(ISNUMBER(S17),S17," - ")</f>
        <v>185</v>
      </c>
      <c r="AZ17" s="129">
        <f t="shared" si="14"/>
        <v>150</v>
      </c>
      <c r="BA17" s="129">
        <f t="shared" si="14"/>
        <v>122</v>
      </c>
      <c r="BB17" s="129">
        <f t="shared" si="14"/>
        <v>213</v>
      </c>
      <c r="BC17" s="125">
        <f>IF(ISNUMBER(W17),W17," - ")</f>
        <v>21</v>
      </c>
      <c r="BD17" s="126">
        <f>IF(ISNUMBER(BA17/AZ17),BA17/AZ17," - ")</f>
        <v>0.81333333333333335</v>
      </c>
      <c r="BE17" s="127">
        <f>IF(ISNUMBER(BB17/BA17),BB17/BA17, " - ")</f>
        <v>1.7459016393442623</v>
      </c>
      <c r="BF17" s="127">
        <f>IF(ISNUMBER(BC17/BA17),BC17/BA17, " - ")</f>
        <v>0.1721311475409836</v>
      </c>
      <c r="BG17" s="196">
        <f>IF(ISNUMBER((AY17+AZ17)/BA17),(AY17+AZ17)/BA17," - ")</f>
        <v>2.7459016393442623</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3259</v>
      </c>
      <c r="J18" s="184">
        <f t="shared" si="15"/>
        <v>2182</v>
      </c>
      <c r="K18" s="184">
        <f t="shared" si="15"/>
        <v>1968</v>
      </c>
      <c r="L18" s="184">
        <f t="shared" si="15"/>
        <v>3477</v>
      </c>
      <c r="M18" s="184">
        <f t="shared" si="15"/>
        <v>268</v>
      </c>
      <c r="N18" s="184">
        <f t="shared" si="15"/>
        <v>1107</v>
      </c>
      <c r="O18" s="184">
        <f t="shared" si="15"/>
        <v>64</v>
      </c>
      <c r="P18" s="184">
        <f t="shared" si="15"/>
        <v>90</v>
      </c>
      <c r="Q18" s="184">
        <f t="shared" si="15"/>
        <v>91</v>
      </c>
      <c r="R18" s="184">
        <f t="shared" si="15"/>
        <v>324</v>
      </c>
      <c r="S18" s="184">
        <f t="shared" si="15"/>
        <v>2504</v>
      </c>
      <c r="T18" s="184">
        <f t="shared" si="15"/>
        <v>2416</v>
      </c>
      <c r="U18" s="184">
        <f t="shared" si="15"/>
        <v>2299</v>
      </c>
      <c r="V18" s="184">
        <f t="shared" si="15"/>
        <v>2631</v>
      </c>
      <c r="W18" s="184">
        <f t="shared" si="15"/>
        <v>274</v>
      </c>
      <c r="X18" s="184">
        <f t="shared" si="15"/>
        <v>1095</v>
      </c>
      <c r="Y18" s="184">
        <f t="shared" si="15"/>
        <v>0</v>
      </c>
      <c r="Z18" s="184">
        <f t="shared" si="15"/>
        <v>0</v>
      </c>
      <c r="AA18" s="184">
        <f t="shared" si="15"/>
        <v>0</v>
      </c>
      <c r="AB18" s="184">
        <f t="shared" si="15"/>
        <v>0</v>
      </c>
      <c r="AC18" s="184">
        <f t="shared" si="15"/>
        <v>0</v>
      </c>
      <c r="AD18" s="184">
        <f t="shared" si="15"/>
        <v>4</v>
      </c>
      <c r="AE18" s="184">
        <f t="shared" si="15"/>
        <v>4</v>
      </c>
      <c r="AF18" s="184">
        <f t="shared" si="15"/>
        <v>0</v>
      </c>
      <c r="AG18" s="184">
        <f t="shared" si="15"/>
        <v>0</v>
      </c>
      <c r="AH18" s="184">
        <f t="shared" si="15"/>
        <v>0</v>
      </c>
      <c r="AI18" s="184">
        <f t="shared" si="15"/>
        <v>0</v>
      </c>
      <c r="AJ18" s="184">
        <f t="shared" si="15"/>
        <v>0</v>
      </c>
      <c r="AK18" s="184">
        <f t="shared" si="15"/>
        <v>0</v>
      </c>
      <c r="AL18" s="184">
        <f t="shared" si="15"/>
        <v>12</v>
      </c>
      <c r="AM18" s="184">
        <f t="shared" si="15"/>
        <v>11</v>
      </c>
      <c r="AN18" s="184">
        <f t="shared" si="15"/>
        <v>1</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2504</v>
      </c>
      <c r="AZ18" s="184">
        <f>SUBTOTAL(9,AZ14:AZ17)</f>
        <v>2416</v>
      </c>
      <c r="BA18" s="184">
        <f>SUBTOTAL(9,BA14:BA17)</f>
        <v>2299</v>
      </c>
      <c r="BB18" s="184">
        <f>SUBTOTAL(9,BB14:BB17)</f>
        <v>2631</v>
      </c>
      <c r="BC18" s="184">
        <f>SUBTOTAL(9,BC14:BC17)</f>
        <v>274</v>
      </c>
      <c r="BD18" s="205">
        <f>IF(ISNUMBER(BA18/AZ18),BA18/AZ18," - ")</f>
        <v>0.95157284768211925</v>
      </c>
      <c r="BE18" s="206">
        <f>IF(ISNUMBER(BB18/BA18),BB18/BA18, " - ")</f>
        <v>1.1444106133101348</v>
      </c>
      <c r="BF18" s="206">
        <f>IF(ISNUMBER(BC18/BA18),BC18/BA18, " - ")</f>
        <v>0.11918225315354503</v>
      </c>
      <c r="BG18" s="207">
        <f>IF(ISNUMBER((AY18+AZ18)/BA18),(AY18+AZ18)/BA18," - ")</f>
        <v>2.1400608960417573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10483</v>
      </c>
      <c r="J19" s="134">
        <f t="shared" si="18"/>
        <v>4912</v>
      </c>
      <c r="K19" s="134">
        <f t="shared" si="18"/>
        <v>4299</v>
      </c>
      <c r="L19" s="134">
        <f t="shared" si="18"/>
        <v>11100</v>
      </c>
      <c r="M19" s="134">
        <f t="shared" si="18"/>
        <v>1007</v>
      </c>
      <c r="N19" s="134">
        <f t="shared" si="18"/>
        <v>2309</v>
      </c>
      <c r="O19" s="134">
        <f t="shared" si="18"/>
        <v>1060</v>
      </c>
      <c r="P19" s="134">
        <f t="shared" si="18"/>
        <v>530</v>
      </c>
      <c r="Q19" s="134">
        <f t="shared" si="18"/>
        <v>368</v>
      </c>
      <c r="R19" s="134">
        <f t="shared" si="18"/>
        <v>6820</v>
      </c>
      <c r="S19" s="134">
        <f t="shared" si="18"/>
        <v>7911</v>
      </c>
      <c r="T19" s="134">
        <f t="shared" si="18"/>
        <v>5132</v>
      </c>
      <c r="U19" s="134">
        <f t="shared" si="18"/>
        <v>4279</v>
      </c>
      <c r="V19" s="134">
        <f t="shared" si="18"/>
        <v>8774</v>
      </c>
      <c r="W19" s="134">
        <f t="shared" si="18"/>
        <v>846</v>
      </c>
      <c r="X19" s="134">
        <f t="shared" si="18"/>
        <v>2138</v>
      </c>
      <c r="Y19" s="134">
        <f t="shared" si="18"/>
        <v>194</v>
      </c>
      <c r="Z19" s="134">
        <f t="shared" si="18"/>
        <v>456</v>
      </c>
      <c r="AA19" s="134">
        <f t="shared" si="18"/>
        <v>444</v>
      </c>
      <c r="AB19" s="134">
        <f t="shared" si="18"/>
        <v>206</v>
      </c>
      <c r="AC19" s="134">
        <f t="shared" si="18"/>
        <v>0</v>
      </c>
      <c r="AD19" s="134">
        <f t="shared" si="18"/>
        <v>4</v>
      </c>
      <c r="AE19" s="134">
        <f t="shared" si="18"/>
        <v>4</v>
      </c>
      <c r="AF19" s="134">
        <f t="shared" si="18"/>
        <v>0</v>
      </c>
      <c r="AG19" s="134">
        <f t="shared" si="18"/>
        <v>283</v>
      </c>
      <c r="AH19" s="134">
        <f t="shared" si="18"/>
        <v>303</v>
      </c>
      <c r="AI19" s="134">
        <f t="shared" si="18"/>
        <v>276</v>
      </c>
      <c r="AJ19" s="134">
        <f t="shared" si="18"/>
        <v>310</v>
      </c>
      <c r="AK19" s="134">
        <f t="shared" si="18"/>
        <v>0</v>
      </c>
      <c r="AL19" s="134">
        <f t="shared" si="18"/>
        <v>12</v>
      </c>
      <c r="AM19" s="134">
        <f t="shared" si="18"/>
        <v>11</v>
      </c>
      <c r="AN19" s="210">
        <f t="shared" si="18"/>
        <v>1</v>
      </c>
      <c r="AO19" s="211">
        <v>10</v>
      </c>
      <c r="AP19" s="211">
        <v>9</v>
      </c>
      <c r="AQ19" s="211">
        <v>9</v>
      </c>
      <c r="AR19" s="211">
        <v>9</v>
      </c>
      <c r="AS19" s="153">
        <f t="shared" si="18"/>
        <v>0</v>
      </c>
      <c r="AT19" s="153">
        <f t="shared" si="18"/>
        <v>0</v>
      </c>
      <c r="AU19" s="211"/>
      <c r="AV19" s="212"/>
      <c r="AW19" s="211"/>
      <c r="AX19" s="212"/>
      <c r="AY19" s="133">
        <f>SUBTOTAL(9,AY9:AY18)</f>
        <v>8194</v>
      </c>
      <c r="AZ19" s="134">
        <f>SUBTOTAL(9,AZ9:AZ18)</f>
        <v>5435</v>
      </c>
      <c r="BA19" s="134">
        <f>SUBTOTAL(9,BA9:BA18)</f>
        <v>4555</v>
      </c>
      <c r="BB19" s="134">
        <f>SUBTOTAL(9,BB9:BB18)</f>
        <v>9084</v>
      </c>
      <c r="BC19" s="135">
        <f>SUBTOTAL(9,BC9:BC18)</f>
        <v>1318</v>
      </c>
      <c r="BD19" s="213">
        <f>IF(ISNUMBER(BA19/AZ19),BA19/AZ19," - ")</f>
        <v>0.83808647654093837</v>
      </c>
      <c r="BE19" s="210">
        <f>IF(ISNUMBER(BB19/BA19),BB19/BA19, " - ")</f>
        <v>1.9942919868276618</v>
      </c>
      <c r="BF19" s="210">
        <f>IF(ISNUMBER(BC19/BA19),BC19/BA19, " - ")</f>
        <v>0.2893523600439078</v>
      </c>
      <c r="BG19" s="135">
        <f>IF(ISNUMBER((AY19+AZ19)/BA19),(AY19+AZ19)/BA19," - ")</f>
        <v>2.9920965971459936</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qfRoenXRkxugK+gPiNbxmjfsPFrjIdSFQO5tD79kHeJL5avudk42YST7zysHYqSHLe4t+Xbs+1uZUnkzewNrw==" saltValue="48rL5YYDPwKgEYzj/knEi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YR1oPbyVB8QfN1RcR44yRS+NYRuwgwRPBe/AeQb1jr+MgWNi+Fi/V6vVDx5tEDcYyq6jBBYLNaV7reJbjQEg==" saltValue="NwJU+jLggngLFTXFSgvdb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SANTIAGO DE COMPOSTELA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4 al 4</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242</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108</v>
      </c>
      <c r="O9" s="334"/>
      <c r="P9" s="334"/>
      <c r="Q9" s="226">
        <f>IF(ISNUMBER(Datos!P9),Datos!P9,0)</f>
        <v>407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260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110</v>
      </c>
      <c r="AI9" s="334" t="str">
        <f>IF(ISNUMBER(Datos!CD9),Datos!CD9,"-")</f>
        <v>-</v>
      </c>
      <c r="AJ9" s="334" t="str">
        <f>IF(ISNUMBER(Datos!EN9),Datos!EN9," - ")</f>
        <v xml:space="preserve"> - </v>
      </c>
      <c r="AK9" s="334"/>
      <c r="AL9" s="479"/>
      <c r="AM9" s="335">
        <f>IF(ISNUMBER(Datos!R9),Datos!R9," - ")</f>
        <v>5971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628</v>
      </c>
      <c r="BD9" s="229">
        <f>IF(ISNUMBER(Datos!N9),Datos!N9," - ")</f>
        <v>832</v>
      </c>
      <c r="BE9" s="229" t="str">
        <f>IF(ISNUMBER(Datos!BW9),Datos!BW9," - ")</f>
        <v xml:space="preserve"> - </v>
      </c>
      <c r="BF9" s="228" t="str">
        <f>IF(ISNUMBER(Datos!BX9),Datos!BX9," - ")</f>
        <v xml:space="preserve"> - </v>
      </c>
      <c r="BG9" s="243">
        <f>IF(ISNUMBER(IF(J_V="SI",Datos!K9/Datos!J9,(Datos!K9+Datos!AA9)/(Datos!J9+Datos!Z9))),IF(J_V="SI",Datos!K9/Datos!J9,(Datos!K9+Datos!AA9)/(Datos!J9+Datos!Z9))," - ")</f>
        <v>0.84970414201183431</v>
      </c>
      <c r="BH9" s="260">
        <f>IF(ISNUMBER(((IF(J_V="SI",Datos!L9/Datos!K9,(Datos!L9+Datos!AB9)/(Datos!K9+Datos!AA9)))*11)/factor_trimestre),((IF(J_V="SI",Datos!L9/Datos!K9,(Datos!L9+Datos!AB9)/(Datos!K9+Datos!AA9)))*11)/factor_trimestre," - ")</f>
        <v>9.5264623955431755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2.5240384615384616E-2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0</v>
      </c>
      <c r="F10" s="225">
        <f>IF(ISNUMBER(Datos!L10+Datos!K10-Datos!J10),Datos!L10+Datos!K10-Datos!J10," - ")</f>
        <v>103</v>
      </c>
      <c r="G10" s="333">
        <f>IF(ISNUMBER(Datos!I10),Datos!I10," - ")</f>
        <v>103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34</v>
      </c>
      <c r="AC10" s="226">
        <f>IF(ISNUMBER(Datos!Q10),Datos!Q10," - ")</f>
        <v>5</v>
      </c>
      <c r="AD10" s="334"/>
      <c r="AE10" s="484"/>
      <c r="AF10" s="332">
        <f>IF(ISNUMBER(Datos!L10),Datos!L10,"-")</f>
        <v>90</v>
      </c>
      <c r="AG10" s="334"/>
      <c r="AH10" s="334"/>
      <c r="AI10" s="334"/>
      <c r="AJ10" s="334"/>
      <c r="AK10" s="334"/>
      <c r="AL10" s="479"/>
      <c r="AM10" s="335">
        <f>IF(ISNUMBER(Datos!R10),Datos!R10," - ")</f>
        <v>48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4</v>
      </c>
      <c r="BE10" s="229" t="str">
        <f>IF(ISNUMBER(Datos!BW10),Datos!BW10," - ")</f>
        <v xml:space="preserve"> - </v>
      </c>
      <c r="BF10" s="228" t="str">
        <f>IF(ISNUMBER(Datos!BX10),Datos!BX10," - ")</f>
        <v xml:space="preserve"> - </v>
      </c>
      <c r="BG10" s="243">
        <f>IF(ISNUMBER(Datos!K10/Datos!J10),Datos!K10/Datos!J10," - ")</f>
        <v>1.6190476190476191</v>
      </c>
      <c r="BH10" s="260">
        <f>IF(ISNUMBER(((Datos!L10/Datos!K10)*11)/factor_trimestre),((Datos!L10/Datos!K10)*11)/factor_trimestre," - ")</f>
        <v>7.9411764705882355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6.6666666666666666E-2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348</v>
      </c>
      <c r="O11" s="334"/>
      <c r="P11" s="334"/>
      <c r="Q11" s="226">
        <f>IF(ISNUMBER(Datos!P11),Datos!P11,0)</f>
        <v>25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12</v>
      </c>
      <c r="AD11" s="334"/>
      <c r="AE11" s="484"/>
      <c r="AF11" s="332" t="str">
        <f>IF(ISNUMBER(IF(J_V="SI",Datos!L11,Datos!L11+Datos!AB11)-IF(Monitorios="SI",Datos!CD11,0)),
                          IF(J_V="SI",Datos!L11,Datos!L11+Datos!AB11)-IF(Monitorios="SI",Datos!CD11,0),
                          " - ")</f>
        <v xml:space="preserve"> - </v>
      </c>
      <c r="AG11" s="334"/>
      <c r="AH11" s="334">
        <f>IF(ISNUMBER(Datos!AB11),Datos!AB11,"-")</f>
        <v>96</v>
      </c>
      <c r="AI11" s="334"/>
      <c r="AJ11" s="334"/>
      <c r="AK11" s="334"/>
      <c r="AL11" s="479"/>
      <c r="AM11" s="335">
        <f>IF(ISNUMBER(Datos!R11),Datos!R11," - ")</f>
        <v>421</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106</v>
      </c>
      <c r="BD11" s="229">
        <f>IF(ISNUMBER(Datos!N11),Datos!N11," - ")</f>
        <v>366</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0.93174603174603177</v>
      </c>
      <c r="BH11" s="260">
        <f>IF(ISNUMBER(((IF(J_V="SI",Datos!L11/Datos!K11,(Datos!L11+Datos!AB11)/(Datos!K11+Datos!AA11)))*11)/factor_trimestre),((IF(J_V="SI",Datos!L11/Datos!K11,(Datos!L11+Datos!AB11)/(Datos!K11+Datos!AA11)))*11)/factor_trimestre," - ")</f>
        <v>4.5945485519591145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3.1862745098039214E-2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56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103</v>
      </c>
      <c r="G13" s="898">
        <f t="shared" si="0"/>
        <v>103</v>
      </c>
      <c r="H13" s="899">
        <f t="shared" si="0"/>
        <v>0</v>
      </c>
      <c r="I13" s="898">
        <f t="shared" si="0"/>
        <v>0</v>
      </c>
      <c r="J13" s="867">
        <f t="shared" si="0"/>
        <v>0</v>
      </c>
      <c r="K13" s="867">
        <f t="shared" si="0"/>
        <v>0</v>
      </c>
      <c r="L13" s="899">
        <f t="shared" si="0"/>
        <v>0</v>
      </c>
      <c r="M13" s="899">
        <f t="shared" si="0"/>
        <v>0</v>
      </c>
      <c r="N13" s="899">
        <f t="shared" si="0"/>
        <v>456</v>
      </c>
      <c r="O13" s="900">
        <f t="shared" si="0"/>
        <v>0</v>
      </c>
      <c r="P13" s="900">
        <f t="shared" si="0"/>
        <v>0</v>
      </c>
      <c r="Q13" s="899">
        <f t="shared" si="0"/>
        <v>440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34</v>
      </c>
      <c r="AC13" s="899">
        <f t="shared" si="1"/>
        <v>277</v>
      </c>
      <c r="AD13" s="899">
        <f t="shared" si="1"/>
        <v>0</v>
      </c>
      <c r="AE13" s="899">
        <f t="shared" si="1"/>
        <v>0</v>
      </c>
      <c r="AF13" s="899">
        <f t="shared" si="1"/>
        <v>90</v>
      </c>
      <c r="AG13" s="899">
        <f t="shared" si="1"/>
        <v>0</v>
      </c>
      <c r="AH13" s="899">
        <f t="shared" si="1"/>
        <v>206</v>
      </c>
      <c r="AI13" s="899">
        <f t="shared" si="1"/>
        <v>0</v>
      </c>
      <c r="AJ13" s="899">
        <f t="shared" si="1"/>
        <v>0</v>
      </c>
      <c r="AK13" s="899">
        <f t="shared" si="1"/>
        <v>0</v>
      </c>
      <c r="AL13" s="899">
        <f t="shared" si="1"/>
        <v>0</v>
      </c>
      <c r="AM13" s="899">
        <f t="shared" si="1"/>
        <v>6496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739</v>
      </c>
      <c r="BD13" s="899">
        <f t="shared" si="1"/>
        <v>1202</v>
      </c>
      <c r="BE13" s="899">
        <f t="shared" si="1"/>
        <v>0</v>
      </c>
      <c r="BF13" s="899">
        <f t="shared" si="1"/>
        <v>0</v>
      </c>
      <c r="BG13" s="899">
        <f>IF(ISNUMBER(Datos!K13/Datos!J13),Datos!K13/Datos!J13," - ")</f>
        <v>0.85384615384615381</v>
      </c>
      <c r="BH13" s="903">
        <f>IF(ISNUMBER(((Datos!L13/Datos!K13)*11)/factor_trimestre),((Datos!L13/Datos!K13)*11)/factor_trimestre," - ")</f>
        <v>9.8108108108108105</v>
      </c>
      <c r="BI13" s="899">
        <f>IF(ISNUMBER('Resol  Asuntos'!D13/NºAsuntos!G13),'Resol  Asuntos'!D13/NºAsuntos!G13," - ")</f>
        <v>0.26630630630630631</v>
      </c>
      <c r="BJ13" s="899" t="str">
        <f>IF(ISNUMBER(Datos!CI13/Datos!CJ13),Datos!CI13/Datos!CJ13," - ")</f>
        <v xml:space="preserve"> - </v>
      </c>
      <c r="BK13" s="899">
        <f>SUBTOTAL(9,BK8:BK12)</f>
        <v>0</v>
      </c>
      <c r="BL13" s="899">
        <f>IF(ISNUMBER((I13-AB13+L13)/(F13)),(I13-AB13+L13)/(F13)," - ")</f>
        <v>-0.3300970873786408</v>
      </c>
      <c r="BM13" s="904">
        <f>SUBTOTAL(9,BM9:BM12)</f>
        <v>0.1237697963800905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392</v>
      </c>
      <c r="C15" s="600" t="str">
        <f>Datos!A15</f>
        <v xml:space="preserve">Jdos. Instrucción                               </v>
      </c>
      <c r="D15" s="601"/>
      <c r="E15" s="1165">
        <f>IF(ISNUMBER(Datos!AQ15),Datos!AQ15," - ")</f>
        <v>3</v>
      </c>
      <c r="F15" s="595">
        <f>IF(ISNUMBER(AF15+AB15-Datos!J15-L15),AF15+AB15-Datos!J15-L15," - ")</f>
        <v>2936</v>
      </c>
      <c r="G15" s="598">
        <f>IF(ISNUMBER(IF(D_I="SI",Datos!I15,Datos!I15+Datos!AC15)),IF(D_I="SI",Datos!I15,Datos!I15+Datos!AC15)," - ")</f>
        <v>2932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1879</v>
      </c>
      <c r="AC15" s="226">
        <f>IF(ISNUMBER(Datos!Q15),Datos!Q15," - ")</f>
        <v>91</v>
      </c>
      <c r="AD15" s="334"/>
      <c r="AE15" s="484"/>
      <c r="AF15" s="596">
        <f>IF(ISNUMBER(IF(D_I="SI",Datos!L15,Datos!L15+Datos!AF15)),IF(D_I="SI",Datos!L15,Datos!L15+Datos!AF15)," - ")</f>
        <v>3146</v>
      </c>
      <c r="AG15" s="334"/>
      <c r="AH15" s="334"/>
      <c r="AI15" s="334"/>
      <c r="AJ15" s="334"/>
      <c r="AK15" s="334"/>
      <c r="AL15" s="479"/>
      <c r="AM15" s="335">
        <f>IF(ISNUMBER(Datos!R15),Datos!R15," - ")</f>
        <v>322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259</v>
      </c>
      <c r="BD15" s="229">
        <f>IF(ISNUMBER(Datos!N15),Datos!N15," - ")</f>
        <v>1066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0.89947343226424126</v>
      </c>
      <c r="BH15" s="260">
        <f>IF(ISNUMBER(((IF(D_I="SI",Datos!L15/Datos!K15,(Datos!L15+Datos!AF15)/(Datos!K15+Datos!AE15)))*11)/factor_trimestre),((IF(D_I="SI",Datos!L15/Datos!K15,(Datos!L15+Datos!AF15)/(Datos!K15+Datos!AE15)))*11)/factor_trimestre," - ")</f>
        <v>5.0228845130388509</v>
      </c>
      <c r="BI15" s="243">
        <f>IF(ISNUMBER('Resol  Asuntos'!D15/NºAsuntos!G15),'Resol  Asuntos'!D15/NºAsuntos!G15," - ")</f>
        <v>0.1378392762107504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327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89</v>
      </c>
      <c r="AC17" s="226">
        <f>IF(ISNUMBER(Datos!Q17),Datos!Q17," - ")</f>
        <v>0</v>
      </c>
      <c r="AD17" s="334"/>
      <c r="AE17" s="484"/>
      <c r="AF17" s="332">
        <f>IF(ISNUMBER(Datos!L17),Datos!L17,"-")</f>
        <v>331</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41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0.956989247311828</v>
      </c>
      <c r="BH17" s="260">
        <f>IF(ISNUMBER(((IF(D_I="SI",Datos!L17/Datos!K17,(Datos!L17+Datos!AF17)/(Datos!K17+Datos!AE17)))*11)/factor_trimestre),((IF(D_I="SI",Datos!L17/Datos!K17,(Datos!L17+Datos!AF17)/(Datos!K17+Datos!AE17)))*11)/factor_trimestre," - ")</f>
        <v>11.157303370786517</v>
      </c>
      <c r="BI17" s="243">
        <f>IF(ISNUMBER('Resol  Asuntos'!D17/NºAsuntos!G17),'Resol  Asuntos'!D17/NºAsuntos!G17," - ")</f>
        <v>0.10112359550561797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2936</v>
      </c>
      <c r="G18" s="898">
        <f>SUBTOTAL(9,G15:G17)</f>
        <v>3259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1968</v>
      </c>
      <c r="AC18" s="899">
        <f t="shared" si="4"/>
        <v>91</v>
      </c>
      <c r="AD18" s="899">
        <f t="shared" si="4"/>
        <v>0</v>
      </c>
      <c r="AE18" s="899">
        <f t="shared" si="4"/>
        <v>0</v>
      </c>
      <c r="AF18" s="899">
        <f t="shared" si="4"/>
        <v>3477</v>
      </c>
      <c r="AG18" s="899">
        <f t="shared" si="4"/>
        <v>0</v>
      </c>
      <c r="AH18" s="899">
        <f t="shared" si="4"/>
        <v>0</v>
      </c>
      <c r="AI18" s="899">
        <f t="shared" si="4"/>
        <v>0</v>
      </c>
      <c r="AJ18" s="899">
        <f t="shared" si="4"/>
        <v>0</v>
      </c>
      <c r="AK18" s="899">
        <f t="shared" si="4"/>
        <v>0</v>
      </c>
      <c r="AL18" s="899">
        <f t="shared" si="4"/>
        <v>0</v>
      </c>
      <c r="AM18" s="899">
        <f t="shared" si="4"/>
        <v>324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268</v>
      </c>
      <c r="BD18" s="899">
        <f t="shared" si="4"/>
        <v>1107</v>
      </c>
      <c r="BE18" s="899">
        <f t="shared" si="4"/>
        <v>0</v>
      </c>
      <c r="BF18" s="899">
        <f t="shared" si="4"/>
        <v>0</v>
      </c>
      <c r="BG18" s="899">
        <f>IF(ISNUMBER(Datos!K18/Datos!J18),Datos!K18/Datos!J18," - ")</f>
        <v>0.90192483959670022</v>
      </c>
      <c r="BH18" s="903">
        <f>IF(ISNUMBER(((Datos!L18/Datos!K18)*11)/factor_trimestre),((Datos!L18/Datos!K18)*11)/factor_trimestre," - ")</f>
        <v>5.3003048780487809</v>
      </c>
      <c r="BI18" s="899">
        <f>SUBTOTAL(9,BI15:BI17)</f>
        <v>0.23896287171636837</v>
      </c>
      <c r="BJ18" s="899">
        <f>SUBTOTAL(9,BJ15:BJ17)</f>
        <v>0</v>
      </c>
      <c r="BK18" s="899">
        <f>SUBTOTAL(9,BK15:BK17)</f>
        <v>0</v>
      </c>
      <c r="BL18" s="899">
        <f>IF(ISNUMBER((I18-AB18+L18)/(F18)),(I18-AB18+L18)/(F18)," - ")</f>
        <v>-0.67029972752043598</v>
      </c>
      <c r="BM18" s="905">
        <f>IF(ISNUMBER((Datos!P18-Datos!Q18)/(Datos!R18-Datos!P18+Datos!Q18)),(Datos!P18-Datos!Q18)/(Datos!R18-Datos!P18+Datos!Q18)," - ")</f>
        <v>-3.0769230769230769E-3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9</v>
      </c>
      <c r="F19" s="820">
        <f t="shared" si="6"/>
        <v>3039</v>
      </c>
      <c r="G19" s="820">
        <f t="shared" si="6"/>
        <v>3362</v>
      </c>
      <c r="H19" s="822">
        <f t="shared" si="6"/>
        <v>0</v>
      </c>
      <c r="I19" s="820">
        <f t="shared" si="6"/>
        <v>0</v>
      </c>
      <c r="J19" s="822">
        <f t="shared" si="6"/>
        <v>0</v>
      </c>
      <c r="K19" s="822">
        <f t="shared" si="6"/>
        <v>0</v>
      </c>
      <c r="L19" s="881">
        <f t="shared" si="6"/>
        <v>0</v>
      </c>
      <c r="M19" s="881">
        <f t="shared" si="6"/>
        <v>0</v>
      </c>
      <c r="N19" s="881">
        <f t="shared" si="6"/>
        <v>456</v>
      </c>
      <c r="O19" s="881">
        <f t="shared" si="6"/>
        <v>0</v>
      </c>
      <c r="P19" s="881">
        <f t="shared" si="6"/>
        <v>0</v>
      </c>
      <c r="Q19" s="822">
        <f t="shared" si="6"/>
        <v>530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2002</v>
      </c>
      <c r="AC19" s="821">
        <f t="shared" si="7"/>
        <v>368</v>
      </c>
      <c r="AD19" s="821">
        <f t="shared" si="7"/>
        <v>0</v>
      </c>
      <c r="AE19" s="821">
        <f t="shared" si="7"/>
        <v>0</v>
      </c>
      <c r="AF19" s="828">
        <f t="shared" si="7"/>
        <v>3567</v>
      </c>
      <c r="AG19" s="828">
        <f t="shared" si="7"/>
        <v>0</v>
      </c>
      <c r="AH19" s="828">
        <f t="shared" si="7"/>
        <v>206</v>
      </c>
      <c r="AI19" s="828">
        <f t="shared" si="7"/>
        <v>0</v>
      </c>
      <c r="AJ19" s="821">
        <f t="shared" si="7"/>
        <v>0</v>
      </c>
      <c r="AK19" s="828">
        <f t="shared" si="7"/>
        <v>0</v>
      </c>
      <c r="AL19" s="828">
        <f t="shared" si="7"/>
        <v>0</v>
      </c>
      <c r="AM19" s="828">
        <f t="shared" si="7"/>
        <v>6820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1007</v>
      </c>
      <c r="BD19" s="820">
        <f t="shared" si="7"/>
        <v>2309</v>
      </c>
      <c r="BE19" s="820">
        <f t="shared" si="7"/>
        <v>0</v>
      </c>
      <c r="BF19" s="830">
        <f t="shared" si="7"/>
        <v>0</v>
      </c>
      <c r="BG19" s="915">
        <f>IF(ISNUMBER(Datos!K19/Datos!J19),Datos!K19/Datos!J19," - ")</f>
        <v>0.87520358306188928</v>
      </c>
      <c r="BH19" s="915">
        <f>IF(ISNUMBER(((Datos!L19/Datos!K19)*11)/factor_trimestre),((Datos!L19/Datos!K19)*11)/factor_trimestre," - ")</f>
        <v>7.745987438939288</v>
      </c>
      <c r="BI19" s="813">
        <f>IF(ISNUMBER(Datos!J19/Datos!I19),Datos!J19/Datos!I19," - ")</f>
        <v>0.46856815797004675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-0.65876933201711085</v>
      </c>
      <c r="BM19" s="889">
        <f>IF(ISNUMBER((Datos!P19-Datos!Q19+R19)/(Datos!R19-Datos!P19+Datos!Q19-R19)),(Datos!P19-Datos!Q19+R19)/(Datos!R19-Datos!P19+Datos!Q19-R19)," - ")</f>
        <v>2.4331631120456592E-2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1344.8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2.3452078799117149</v>
      </c>
      <c r="F21" s="551">
        <f>IF(ISNUMBER(STDEV(F8:F18)),STDEV(F8:F18),"-")</f>
        <v>1635.6333126142099</v>
      </c>
      <c r="G21" s="552">
        <f>IF(ISNUMBER(STDEV(G8:G18)),STDEV(G8:G18),"-")</f>
        <v>1604.9467903952454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1025.6089410686707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288.77264908079997</v>
      </c>
      <c r="BD21" s="551"/>
      <c r="BE21" s="551">
        <f>IF(ISNUMBER(STDEV(BE8:BE18)),STDEV(BE8:BE18),"-")</f>
        <v>0</v>
      </c>
      <c r="BF21" s="556">
        <f>IF(ISNUMBER(STDEV(BF8:BF18)),STDEV(BF8:BF18),"-")</f>
        <v>0</v>
      </c>
      <c r="BG21" s="775">
        <f>IF(ISNUMBER(STDEV(BG8:BG18)),STDEV(BG8:BG18),"-")</f>
        <v>0.27488768843370803</v>
      </c>
      <c r="BH21" s="776">
        <f>IF(ISNUMBER(STDEV(BH8:BH18)),STDEV(BH8:BH18),"-")</f>
        <v>2.6561013130626052</v>
      </c>
      <c r="BI21" s="249">
        <f>IF(ISNUMBER(STDEV(BI8:BI18)),STDEV(BI8:BI18),"-")</f>
        <v>7.911513657751125E-2</v>
      </c>
      <c r="BJ21" s="230" t="str">
        <f>IF(ISNUMBER(BL21/BM21),BL21/BM21," - ")</f>
        <v xml:space="preserve"> - </v>
      </c>
      <c r="BK21" s="575"/>
      <c r="BL21" s="559">
        <f>IF(ISNUMBER(STDEV(BL8:BL18)),STDEV(BL8:BL18),"-")</f>
        <v>0.24055959382183026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Ob3Pcqepk1xRr5lhDMLwZdfdbu841jsrtipuwW7Jj2FLK128p0ilEAIagfVpDGhHFkjZEnytngh6piOCSjF9Cw==" saltValue="k2icRFrjDeDSsOiA40TMN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SANTIAGO DE COMPOSTELA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4 al 4</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407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260</v>
      </c>
      <c r="AA9" s="332" t="str">
        <f>IF(ISNUMBER(IF(J_V="SI",Datos!L9,Datos!L9+Datos!AB9)-IF(Monitorios="SI",Datos!CD9,0)),
                          IF(J_V="SI",Datos!L9,Datos!L9+Datos!AB9)-IF(Monitorios="SI",Datos!CD9,0),
                          " - ")</f>
        <v xml:space="preserve"> - </v>
      </c>
      <c r="AB9" s="334"/>
      <c r="AC9" s="334"/>
      <c r="AD9" s="484"/>
      <c r="AE9" s="484">
        <f>IF(ISNUMBER(Datos!R9),Datos!R9," - ")</f>
        <v>5971</v>
      </c>
      <c r="AF9" s="229" t="str">
        <f>IF(ISNUMBER(Datos!BV9),Datos!BV9," - ")</f>
        <v xml:space="preserve"> - </v>
      </c>
      <c r="AG9" s="225" t="str">
        <f>IF(ISNUMBER(Datos!DV9),Datos!DV9," - ")</f>
        <v xml:space="preserve"> - </v>
      </c>
      <c r="AH9" s="298"/>
      <c r="AI9" s="227"/>
      <c r="AJ9" s="225">
        <f>IF(ISNUMBER(Datos!M9),Datos!M9," - ")</f>
        <v>628</v>
      </c>
      <c r="AK9" s="229">
        <f>IF(ISNUMBER(Datos!N9),Datos!N9," - ")</f>
        <v>832</v>
      </c>
      <c r="AL9" s="229" t="str">
        <f>IF(ISNUMBER(Datos!BW9),Datos!BW9," - ")</f>
        <v xml:space="preserve"> - </v>
      </c>
      <c r="AM9" s="228" t="str">
        <f>IF(ISNUMBER(Datos!BX9),Datos!BX9," - ")</f>
        <v xml:space="preserve"> - </v>
      </c>
      <c r="AN9" s="243"/>
      <c r="AO9" s="260">
        <f>IF(ISNUMBER(((NºAsuntos!I9/NºAsuntos!G9)*11)/factor_trimestre),((NºAsuntos!I9/NºAsuntos!G9)*11)/factor_trimestre," - ")</f>
        <v>9.5264623955431755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2.5240384615384616E-2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0</v>
      </c>
      <c r="F10" s="225">
        <f>IF(ISNUMBER(Datos!L10+Datos!K10-Datos!J10),Datos!L10+Datos!K10-Datos!J10," - ")</f>
        <v>103</v>
      </c>
      <c r="G10" s="225">
        <f>IF(ISNUMBER(Datos!I10),Datos!I10," - ")</f>
        <v>103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34</v>
      </c>
      <c r="Z10" s="619">
        <f>IF(ISNUMBER(Datos!Q10),Datos!Q10," - ")</f>
        <v>5</v>
      </c>
      <c r="AA10" s="332">
        <f>IF(ISNUMBER(Datos!L10),Datos!L10,"-")</f>
        <v>90</v>
      </c>
      <c r="AB10" s="334"/>
      <c r="AC10" s="334"/>
      <c r="AD10" s="484"/>
      <c r="AE10" s="484">
        <f>IF(ISNUMBER(Datos!R10),Datos!R10," - ")</f>
        <v>48</v>
      </c>
      <c r="AF10" s="229" t="str">
        <f>IF(ISNUMBER(Datos!BV10),Datos!BV10," - ")</f>
        <v xml:space="preserve"> - </v>
      </c>
      <c r="AG10" s="225" t="str">
        <f>IF(ISNUMBER(Datos!DV10),Datos!DV10," - ")</f>
        <v xml:space="preserve"> - </v>
      </c>
      <c r="AH10" s="298"/>
      <c r="AI10" s="227"/>
      <c r="AJ10" s="225">
        <f>IF(ISNUMBER(Datos!M10),Datos!M10," - ")</f>
        <v>5</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7.9411764705882355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6.6666666666666666E-2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12</v>
      </c>
      <c r="AA11" s="332" t="str">
        <f>IF(ISNUMBER(IF(J_V="SI",Datos!L11,Datos!L11+Datos!AB11)-IF(Monitorios="SI",Datos!CD11,0)),
                          IF(J_V="SI",Datos!L11,Datos!L11+Datos!AB11)-IF(Monitorios="SI",Datos!CD11,0),
                          " - ")</f>
        <v xml:space="preserve"> - </v>
      </c>
      <c r="AB11" s="334"/>
      <c r="AC11" s="334"/>
      <c r="AD11" s="484"/>
      <c r="AE11" s="484">
        <f>IF(ISNUMBER(Datos!R11),Datos!R11," - ")</f>
        <v>421</v>
      </c>
      <c r="AF11" s="229" t="str">
        <f>IF(ISNUMBER(Datos!BV11),Datos!BV11," - ")</f>
        <v xml:space="preserve"> - </v>
      </c>
      <c r="AG11" s="225" t="str">
        <f>IF(ISNUMBER(Datos!DV11),Datos!DV11," - ")</f>
        <v xml:space="preserve"> - </v>
      </c>
      <c r="AH11" s="298"/>
      <c r="AI11" s="227"/>
      <c r="AJ11" s="225">
        <f>IF(ISNUMBER(Datos!M11),Datos!M11," - ")</f>
        <v>106</v>
      </c>
      <c r="AK11" s="229">
        <f>IF(ISNUMBER(Datos!N11),Datos!N11," - ")</f>
        <v>366</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4.5945485519591145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3.1862745098039214E-2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0</v>
      </c>
      <c r="AA12" s="332" t="str">
        <f>IF(ISNUMBER(IF(J_V="SI",Datos!L12,Datos!L12+Datos!AB12)-IF(Monitorios="SI",Datos!CD12,0)),
                          IF(J_V="SI",Datos!L12,Datos!L12+Datos!AB12)-IF(Monitorios="SI",Datos!CD12,0),
                          " - ")</f>
        <v xml:space="preserve"> - </v>
      </c>
      <c r="AB12" s="334"/>
      <c r="AC12" s="334"/>
      <c r="AD12" s="484"/>
      <c r="AE12" s="484">
        <f>IF(ISNUMBER(Datos!R12),Datos!R12," - ")</f>
        <v>56</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103</v>
      </c>
      <c r="G13" s="898">
        <f>SUBTOTAL(9,G8:G12)</f>
        <v>103</v>
      </c>
      <c r="H13" s="908"/>
      <c r="I13" s="898">
        <f t="shared" ref="I13:N13" si="0">SUBTOTAL(9,I8:I12)</f>
        <v>0</v>
      </c>
      <c r="J13" s="867">
        <f t="shared" si="0"/>
        <v>0</v>
      </c>
      <c r="K13" s="908">
        <f t="shared" si="0"/>
        <v>0</v>
      </c>
      <c r="L13" s="908">
        <f t="shared" si="0"/>
        <v>0</v>
      </c>
      <c r="M13" s="908">
        <f t="shared" si="0"/>
        <v>0</v>
      </c>
      <c r="N13" s="908">
        <f t="shared" si="0"/>
        <v>440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34</v>
      </c>
      <c r="Z13" s="907">
        <f t="shared" si="2"/>
        <v>277</v>
      </c>
      <c r="AA13" s="900">
        <f t="shared" si="2"/>
        <v>90</v>
      </c>
      <c r="AB13" s="900">
        <f t="shared" si="2"/>
        <v>0</v>
      </c>
      <c r="AC13" s="900">
        <f t="shared" si="2"/>
        <v>0</v>
      </c>
      <c r="AD13" s="900">
        <f t="shared" si="2"/>
        <v>0</v>
      </c>
      <c r="AE13" s="900">
        <f t="shared" si="2"/>
        <v>6496</v>
      </c>
      <c r="AF13" s="908">
        <f t="shared" si="2"/>
        <v>0</v>
      </c>
      <c r="AG13" s="908">
        <f t="shared" si="2"/>
        <v>0</v>
      </c>
      <c r="AH13" s="908">
        <f t="shared" si="2"/>
        <v>0</v>
      </c>
      <c r="AI13" s="908">
        <f t="shared" si="2"/>
        <v>0</v>
      </c>
      <c r="AJ13" s="908">
        <f t="shared" si="2"/>
        <v>739</v>
      </c>
      <c r="AK13" s="908">
        <f t="shared" si="2"/>
        <v>1202</v>
      </c>
      <c r="AL13" s="908">
        <f t="shared" si="2"/>
        <v>0</v>
      </c>
      <c r="AM13" s="908">
        <f t="shared" si="2"/>
        <v>0</v>
      </c>
      <c r="AN13" s="908">
        <f t="shared" si="2"/>
        <v>0</v>
      </c>
      <c r="AO13" s="904">
        <f>IF(ISNUMBER(((NºAsuntos!I13/NºAsuntos!G13)*11)/factor_trimestre),((NºAsuntos!I13/NºAsuntos!G13)*11)/factor_trimestre," - ")</f>
        <v>8.4637837837837839</v>
      </c>
      <c r="AP13" s="910" t="str">
        <f>IF(ISNUMBER(Datos!CI13/Datos!CJ13),Datos!CI13/Datos!CJ13," - ")</f>
        <v xml:space="preserve"> - </v>
      </c>
      <c r="AQ13" s="928">
        <f t="shared" ref="AQ13:AV13" si="3">SUBTOTAL(9,AQ9:AQ12)</f>
        <v>0</v>
      </c>
      <c r="AR13" s="928">
        <f t="shared" si="3"/>
        <v>0.1237697963800905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392</v>
      </c>
      <c r="C15" s="160" t="str">
        <f>Datos!A15</f>
        <v xml:space="preserve">Jdos. Instrucción                               </v>
      </c>
      <c r="D15" s="502"/>
      <c r="E15" s="1168">
        <f>IF(ISNUMBER(Datos!AQ15),Datos!AQ15," - ")</f>
        <v>3</v>
      </c>
      <c r="F15" s="333">
        <f>IF(ISNUMBER(AA15+Y15-Datos!J15-K15),AA15+Y15-Datos!J15-K15," - ")</f>
        <v>2936</v>
      </c>
      <c r="G15" s="225">
        <f>IF(ISNUMBER(IF(D_I="SI",Datos!I15,Datos!I15+Datos!AC15)),IF(D_I="SI",Datos!I15,Datos!I15+Datos!AC15)," - ")</f>
        <v>2932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1879</v>
      </c>
      <c r="Z15" s="619">
        <f>IF(ISNUMBER(Datos!Q15),Datos!Q15," - ")</f>
        <v>91</v>
      </c>
      <c r="AA15" s="332">
        <f>IF(ISNUMBER(IF(D_I="SI",Datos!L15,Datos!L15+Datos!AF15)),IF(D_I="SI",Datos!L15,Datos!L15+Datos!AF15)," - ")</f>
        <v>3146</v>
      </c>
      <c r="AB15" s="334"/>
      <c r="AC15" s="334"/>
      <c r="AD15" s="484"/>
      <c r="AE15" s="484">
        <f>IF(ISNUMBER(Datos!R15),Datos!R15," - ")</f>
        <v>322</v>
      </c>
      <c r="AF15" s="229" t="str">
        <f>IF(ISNUMBER(Datos!BV15),Datos!BV15," - ")</f>
        <v xml:space="preserve"> - </v>
      </c>
      <c r="AG15" s="225"/>
      <c r="AH15" s="298"/>
      <c r="AI15" s="227"/>
      <c r="AJ15" s="225">
        <f>IF(ISNUMBER(Datos!M15),Datos!M15," - ")</f>
        <v>259</v>
      </c>
      <c r="AK15" s="229">
        <f>IF(ISNUMBER(Datos!N15),Datos!N15," - ")</f>
        <v>1066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5.0228845130388509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327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89</v>
      </c>
      <c r="Z17" s="619">
        <f>IF(ISNUMBER(Datos!Q17),Datos!Q17," - ")</f>
        <v>0</v>
      </c>
      <c r="AA17" s="332">
        <f>IF(ISNUMBER(Datos!L17),Datos!L17,"-")</f>
        <v>331</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9</v>
      </c>
      <c r="AK17" s="229">
        <f>IF(ISNUMBER(Datos!N17),Datos!N17," - ")</f>
        <v>41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11.157303370786517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2936</v>
      </c>
      <c r="G18" s="898">
        <f>SUBTOTAL(9,G15:G17)</f>
        <v>3259</v>
      </c>
      <c r="H18" s="932">
        <f>SUBTOTAL(9,H15:H17)</f>
        <v>0</v>
      </c>
      <c r="I18" s="911">
        <f>SUBTOTAL(9,I15:I17)</f>
        <v>0</v>
      </c>
      <c r="J18" s="867">
        <f>SUBTOTAL(9,J14:J17)</f>
        <v>0</v>
      </c>
      <c r="K18" s="932">
        <f t="shared" ref="K18:S18" si="4">SUBTOTAL(9,K15:K17)</f>
        <v>0</v>
      </c>
      <c r="L18" s="932">
        <f t="shared" si="4"/>
        <v>0</v>
      </c>
      <c r="M18" s="932">
        <f t="shared" si="4"/>
        <v>0</v>
      </c>
      <c r="N18" s="932">
        <f t="shared" si="4"/>
        <v>90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1968</v>
      </c>
      <c r="Z18" s="932">
        <f t="shared" si="5"/>
        <v>91</v>
      </c>
      <c r="AA18" s="932">
        <f t="shared" si="5"/>
        <v>3477</v>
      </c>
      <c r="AB18" s="932">
        <f t="shared" si="5"/>
        <v>0</v>
      </c>
      <c r="AC18" s="932">
        <f t="shared" si="5"/>
        <v>0</v>
      </c>
      <c r="AD18" s="932">
        <f t="shared" si="5"/>
        <v>0</v>
      </c>
      <c r="AE18" s="932">
        <f t="shared" si="5"/>
        <v>324</v>
      </c>
      <c r="AF18" s="932">
        <f t="shared" si="5"/>
        <v>0</v>
      </c>
      <c r="AG18" s="932">
        <f t="shared" si="5"/>
        <v>0</v>
      </c>
      <c r="AH18" s="932">
        <f t="shared" si="5"/>
        <v>0</v>
      </c>
      <c r="AI18" s="932">
        <f t="shared" si="5"/>
        <v>0</v>
      </c>
      <c r="AJ18" s="932">
        <f t="shared" si="5"/>
        <v>268</v>
      </c>
      <c r="AK18" s="932">
        <f t="shared" si="5"/>
        <v>1107</v>
      </c>
      <c r="AL18" s="932">
        <f t="shared" si="5"/>
        <v>0</v>
      </c>
      <c r="AM18" s="932">
        <f t="shared" si="5"/>
        <v>0</v>
      </c>
      <c r="AN18" s="932">
        <f t="shared" si="5"/>
        <v>0</v>
      </c>
      <c r="AO18" s="934">
        <f>IF(ISNUMBER(((NºAsuntos!I18/NºAsuntos!G18)*11)/factor_trimestre),((NºAsuntos!I18/NºAsuntos!G18)*11)/factor_trimestre," - ")</f>
        <v>5.3003048780487809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3039</v>
      </c>
      <c r="G19" s="820">
        <f t="shared" si="7"/>
        <v>3362</v>
      </c>
      <c r="H19" s="821">
        <f t="shared" si="7"/>
        <v>0</v>
      </c>
      <c r="I19" s="820">
        <f t="shared" si="7"/>
        <v>0</v>
      </c>
      <c r="J19" s="822">
        <f t="shared" si="7"/>
        <v>0</v>
      </c>
      <c r="K19" s="820">
        <f t="shared" si="7"/>
        <v>0</v>
      </c>
      <c r="L19" s="823">
        <f t="shared" si="7"/>
        <v>0</v>
      </c>
      <c r="M19" s="820">
        <f t="shared" si="7"/>
        <v>0</v>
      </c>
      <c r="N19" s="821">
        <f t="shared" si="7"/>
        <v>530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2002</v>
      </c>
      <c r="Z19" s="827">
        <f t="shared" si="8"/>
        <v>368</v>
      </c>
      <c r="AA19" s="828">
        <f t="shared" si="8"/>
        <v>3567</v>
      </c>
      <c r="AB19" s="828">
        <f t="shared" si="8"/>
        <v>0</v>
      </c>
      <c r="AC19" s="828">
        <f t="shared" si="8"/>
        <v>0</v>
      </c>
      <c r="AD19" s="829">
        <f t="shared" si="8"/>
        <v>0</v>
      </c>
      <c r="AE19" s="829">
        <f t="shared" si="8"/>
        <v>6820</v>
      </c>
      <c r="AF19" s="830">
        <f t="shared" si="8"/>
        <v>0</v>
      </c>
      <c r="AG19" s="831">
        <f t="shared" si="8"/>
        <v>0</v>
      </c>
      <c r="AH19" s="832">
        <f t="shared" si="8"/>
        <v>0</v>
      </c>
      <c r="AI19" s="830">
        <f t="shared" si="8"/>
        <v>0</v>
      </c>
      <c r="AJ19" s="820">
        <f t="shared" si="8"/>
        <v>1007</v>
      </c>
      <c r="AK19" s="820">
        <f t="shared" si="8"/>
        <v>2309</v>
      </c>
      <c r="AL19" s="820">
        <f t="shared" si="8"/>
        <v>0</v>
      </c>
      <c r="AM19" s="833">
        <f t="shared" si="8"/>
        <v>0</v>
      </c>
      <c r="AN19" s="823">
        <f>IF(ISNUMBER(Datos!K19/Datos!J19),Datos!K19/Datos!J19," - ")</f>
        <v>0.87520358306188928</v>
      </c>
      <c r="AO19" s="823">
        <f>IF(ISNUMBER(FIND("06",Criterios!A8,1)),(IF(ISNUMBER(((Datos!R19/Datos!Q19)*11)/factor_trimestre),((Datos!R19/Datos!Q19)*11)/factor_trimestre," - ")),(IF(ISNUMBER(((Datos!L19/Datos!K19)*11)/factor_trimestre),((Datos!L19/Datos!K19)*11)/factor_trimestre," - ")))</f>
        <v>7.745987438939288</v>
      </c>
      <c r="AP19" s="834" t="str">
        <f>IF(ISNUMBER(Datos!CI19/Datos!CJ19),Datos!CI19/Datos!CJ19," - ")</f>
        <v xml:space="preserve"> - </v>
      </c>
      <c r="AQ19" s="834">
        <f>IF(OR(ISNUMBER(FIND("01",Criterios!A8,1)),ISNUMBER(FIND("02",Criterios!A8,1)),ISNUMBER(FIND("03",Criterios!A8,1)),ISNUMBER(FIND("04",Criterios!A8,1))),(J19-Y19+K19)/(F19-K19),(I19-Y19+K19)/(F19-K19))</f>
        <v>-0.65876933201711085</v>
      </c>
      <c r="AR19" s="834">
        <f>IF(ISNUMBER((Datos!P19-Datos!Q19+O19)/(Datos!R19-Datos!P19+Datos!Q19-O19)),(Datos!P19-Datos!Q19+O19)/(Datos!R19-Datos!P19+Datos!Q19-O19)," - ")</f>
        <v>2.4331631120456592E-2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1344.8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1635.6333126142099</v>
      </c>
      <c r="G21" s="552">
        <f>IF(ISNUMBER(STDEV(G8:G18)),STDEV(G8:G18),"-")</f>
        <v>1604.9467903952454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288.77264908079997</v>
      </c>
      <c r="AK21" s="252"/>
      <c r="AL21" s="252">
        <f>IF(ISNUMBER(STDEV(AL8:AL18)),STDEV(AL8:AL18),"-")</f>
        <v>0</v>
      </c>
      <c r="AM21" s="254">
        <f>IF(ISNUMBER(STDEV(AM8:AM18)),STDEV(AM8:AM18),"-")</f>
        <v>0</v>
      </c>
      <c r="AN21" s="539">
        <f>IF(ISNUMBER(STDEV(AN8:AN18)),STDEV(AN8:AN18),"-")</f>
        <v>0</v>
      </c>
      <c r="AO21" s="540">
        <f>IF(ISNUMBER(STDEV(AO8:AO18)),STDEV(AO8:AO18),"-")</f>
        <v>2.516199008342642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QtCGuc8pTH4RGjYkfEiDnHD3ALoVDTWtI5uBrDObY+mBzDLWjmYFpNEV9Qe/hRIdE+IjiJnk6dl9u0xnM3znOg==" saltValue="/1JoLKlAn6FDsa5Kojc4g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ytBtAD/fPHWXcaoVyS5EAzJVpd5hTwOiUxFf7tnQfG+zodejxbiKZE9OEnoC5wBOSCOOgDWSYUThaoBNtBazEg==" saltValue="pveMIUAO9dEG3eeZjFRM8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xviPZq5WxIezQggQYYm+LhQXgrzeLbFkPu/QENsehvN0xcN72JG36H4bJWx1bIx+sgES82+nowztlOJpkecWg==" saltValue="ApL8yqbuqAe2OIwR4hfCh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SANTIAGO DE COMPOSTELA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4 al 4</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0.26630630630630631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0.18830699506193105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fUuS1AqapN5y7yISDv17hEL7OVL0YMllOINy1r9jUiwGV8nor6MGCBZxA2OMy8Kgoj5NxEqHq+VvjHrzQ6W6Cg==" saltValue="SAAdEZ3GqiYJ/bWzQWj4E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FOSB+oT6kOpQ0a1Bbu5GSALzRoL73ziBUmp1WFJRIeGd1ruRzBVwVbBsOpxwpeNmyyJjs2eR+nXkc++MlJ+1yw==" saltValue="fRsu5tc0OBY+p3Jeyqci6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SANTIAGO DE COMPOSTELA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6459</v>
      </c>
      <c r="D9" s="404">
        <f>IF(ISNUMBER(C9/Datos!BH9),C9/Datos!BH9," - ")</f>
        <v>1291.8</v>
      </c>
      <c r="E9" s="403">
        <f>IF(ISNUMBER(IF(J_V="SI",Datos!J9,Datos!J9+Datos!Z9)),IF(J_V="SI",Datos!J9,Datos!J9+Datos!Z9)," - ")</f>
        <v>2535</v>
      </c>
      <c r="F9" s="404">
        <f>IF(ISNUMBER(E9/B9),E9/B9," - ")</f>
        <v>507</v>
      </c>
      <c r="G9" s="403">
        <f>IF(ISNUMBER(IF(J_V="SI",Datos!K9,Datos!K9+Datos!AA9)),IF(J_V="SI",Datos!K9,Datos!K9+Datos!AA9)," - ")</f>
        <v>2154</v>
      </c>
      <c r="H9" s="404">
        <f>IF(ISNUMBER(G9/B9),G9/B9," - ")</f>
        <v>430.8</v>
      </c>
      <c r="I9" s="403">
        <f>IF(ISNUMBER(IF(J_V="SI",Datos!L9,Datos!L9+Datos!AB9)),IF(J_V="SI",Datos!L9,Datos!L9+Datos!AB9)," - ")</f>
        <v>6840</v>
      </c>
      <c r="J9" s="404">
        <f>IF(ISNUMBER(I9/B9),I9/B9," - ")</f>
        <v>1368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103</v>
      </c>
      <c r="D10" s="404">
        <f>IF(ISNUMBER(C10/Datos!BH10),C10/Datos!BH10," - ")</f>
        <v>103</v>
      </c>
      <c r="E10" s="403">
        <f>IF(ISNUMBER(Datos!J10),Datos!J10," - ")</f>
        <v>21</v>
      </c>
      <c r="F10" s="404">
        <f>IF(ISNUMBER(E10/B10),E10/B10," - ")</f>
        <v>21</v>
      </c>
      <c r="G10" s="403">
        <f>IF(ISNUMBER(Datos!K10),Datos!K10," - ")</f>
        <v>34</v>
      </c>
      <c r="H10" s="404">
        <f>IF(ISNUMBER(G10/B10),G10/B10," - ")</f>
        <v>34</v>
      </c>
      <c r="I10" s="403">
        <f>IF(ISNUMBER(Datos!L10),Datos!L10," - ")</f>
        <v>90</v>
      </c>
      <c r="J10" s="404">
        <f>IF(ISNUMBER(I10/B10),I10/B10," - ")</f>
        <v>90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856</v>
      </c>
      <c r="D11" s="404">
        <f>IF(ISNUMBER(C11/Datos!BH11),C11/Datos!BH11," - ")</f>
        <v>856</v>
      </c>
      <c r="E11" s="403">
        <f>IF(ISNUMBER(IF(J_V="SI",Datos!J11,Datos!J11+Datos!Z11)),IF(J_V="SI",Datos!J11,Datos!J11+Datos!Z11)," - ")</f>
        <v>630</v>
      </c>
      <c r="F11" s="404">
        <f>IF(ISNUMBER(E11/B11),E11/B11," - ")</f>
        <v>630</v>
      </c>
      <c r="G11" s="403">
        <f>IF(ISNUMBER(IF(J_V="SI",Datos!K11,Datos!K11+Datos!AA11)),IF(J_V="SI",Datos!K11,Datos!K11+Datos!AA11)," - ")</f>
        <v>587</v>
      </c>
      <c r="H11" s="404">
        <f>IF(ISNUMBER(G11/B11),G11/B11," - ")</f>
        <v>587</v>
      </c>
      <c r="I11" s="403">
        <f>IF(ISNUMBER(IF(J_V="SI",Datos!L11,Datos!L11+Datos!AB11)),IF(J_V="SI",Datos!L11,Datos!L11+Datos!AB11)," - ")</f>
        <v>899</v>
      </c>
      <c r="J11" s="404">
        <f>IF(ISNUMBER(I11/B11),I11/B11," - ")</f>
        <v>899</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0</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0</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7418</v>
      </c>
      <c r="D13" s="850" t="str">
        <f>IF(ISNUMBER(C13/Datos!BI13),C13/Datos!BI13," - ")</f>
        <v xml:space="preserve"> - </v>
      </c>
      <c r="E13" s="849">
        <f>SUBTOTAL(9,E8:E12)</f>
        <v>3186</v>
      </c>
      <c r="F13" s="850">
        <f>IF(ISNUMBER(E13/B13),E13/B13," - ")</f>
        <v>531</v>
      </c>
      <c r="G13" s="849">
        <f>SUBTOTAL(9,G8:G12)</f>
        <v>2775</v>
      </c>
      <c r="H13" s="850">
        <f>IF(ISNUMBER(G13/B13),G13/B13," - ")</f>
        <v>462.5</v>
      </c>
      <c r="I13" s="849">
        <f>SUBTOTAL(9,I8:I12)</f>
        <v>7829</v>
      </c>
      <c r="J13" s="850">
        <f>IF(ISNUMBER(I13/B13),I13/B13," - ")</f>
        <v>1304.8333333333333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2932</v>
      </c>
      <c r="D15" s="404">
        <f>IF(ISNUMBER(C15/Datos!BH15),C15/Datos!BH15," - ")</f>
        <v>977.33333333333337</v>
      </c>
      <c r="E15" s="403">
        <f>IF(ISNUMBER(IF(D_I="SI",Datos!J15,Datos!J15+Datos!AD15)),IF(D_I="SI",Datos!J15,Datos!J15+Datos!AD15)," - ")</f>
        <v>2089</v>
      </c>
      <c r="F15" s="404">
        <f>IF(ISNUMBER(E15/B15),E15/B15," - ")</f>
        <v>696.33333333333337</v>
      </c>
      <c r="G15" s="403">
        <f>IF(ISNUMBER(IF(D_I="SI",Datos!K15,Datos!K15+Datos!AE15)),IF(D_I="SI",Datos!K15,Datos!K15+Datos!AE15)," - ")</f>
        <v>1879</v>
      </c>
      <c r="H15" s="404">
        <f>IF(ISNUMBER(G15/B15),G15/B15," - ")</f>
        <v>626.33333333333337</v>
      </c>
      <c r="I15" s="403">
        <f>IF(ISNUMBER(IF(D_I="SI",Datos!L15,Datos!L15+Datos!AF15)),IF(D_I="SI",Datos!L15,Datos!L15+Datos!AF15)," - ")</f>
        <v>3146</v>
      </c>
      <c r="J15" s="404">
        <f>IF(ISNUMBER(I15/B15),I15/B15," - ")</f>
        <v>1048.6666666666667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327</v>
      </c>
      <c r="D17" s="404">
        <f>IF(ISNUMBER(C17/Datos!BH17),C17/Datos!BH17," - ")</f>
        <v>327</v>
      </c>
      <c r="E17" s="403">
        <f>IF(ISNUMBER(IF(D_I="SI",Datos!J17,Datos!J17+Datos!AD17)),IF(D_I="SI",Datos!J17,Datos!J17+Datos!AD17)," - ")</f>
        <v>93</v>
      </c>
      <c r="F17" s="404">
        <f>IF(ISNUMBER(E17/B17),E17/B17," - ")</f>
        <v>93</v>
      </c>
      <c r="G17" s="403">
        <f>IF(ISNUMBER(IF(D_I="SI",Datos!K17,Datos!K17+Datos!AE17)),IF(D_I="SI",Datos!K17,Datos!K17+Datos!AE17)," - ")</f>
        <v>89</v>
      </c>
      <c r="H17" s="404">
        <f>IF(ISNUMBER(G17/B17),G17/B17," - ")</f>
        <v>89</v>
      </c>
      <c r="I17" s="403">
        <f>IF(ISNUMBER(IF(D_I="SI",Datos!L17,Datos!L17+Datos!AF17)),IF(D_I="SI",Datos!L17,Datos!L17+Datos!AF17)," - ")</f>
        <v>331</v>
      </c>
      <c r="J17" s="404">
        <f>IF(ISNUMBER(I17/B17),I17/B17," - ")</f>
        <v>331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3259</v>
      </c>
      <c r="D18" s="850" t="str">
        <f>IF(ISNUMBER(C18/Datos!BI18),C18/Datos!BI18," - ")</f>
        <v xml:space="preserve"> - </v>
      </c>
      <c r="E18" s="849">
        <f>SUBTOTAL(9,E14:E17)</f>
        <v>2182</v>
      </c>
      <c r="F18" s="850">
        <f>IF(ISNUMBER(E18/B18),E18/B18," - ")</f>
        <v>727.33333333333337</v>
      </c>
      <c r="G18" s="849">
        <f>SUBTOTAL(9,G14:G17)</f>
        <v>1968</v>
      </c>
      <c r="H18" s="850">
        <f>IF(ISNUMBER(G18/B18),G18/B18," - ")</f>
        <v>656</v>
      </c>
      <c r="I18" s="849">
        <f>SUBTOTAL(9,I14:I17)</f>
        <v>3477</v>
      </c>
      <c r="J18" s="850">
        <f>IF(ISNUMBER(I18/B18),I18/B18," - ")</f>
        <v>1159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10677</v>
      </c>
      <c r="D19" s="795" t="str">
        <f>IF(ISNUMBER(C19/Datos!BI19),C19/Datos!BI19," - ")</f>
        <v xml:space="preserve"> - </v>
      </c>
      <c r="E19" s="794">
        <f>SUBTOTAL(9,E9:E18)</f>
        <v>5368</v>
      </c>
      <c r="F19" s="795">
        <f>IF(ISNUMBER(E19/B19),E19/B19," - ")</f>
        <v>596.44444444444446</v>
      </c>
      <c r="G19" s="794">
        <f>SUBTOTAL(9,G9:G18)</f>
        <v>4743</v>
      </c>
      <c r="H19" s="795">
        <f>IF(ISNUMBER(G19/B19),G19/B19," - ")</f>
        <v>527</v>
      </c>
      <c r="I19" s="794">
        <f>SUBTOTAL(9,I9:I18)</f>
        <v>11306</v>
      </c>
      <c r="J19" s="795">
        <f>IF(ISNUMBER(I19/B19),I19/B19," - ")</f>
        <v>1256.2222222222222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CUh4cMIPcBsiATiqYWnERO4U3zWgmSqAe2M4P3QoQim/8QkjA9Q4/5hDZdr5tC/OwI9PO3yGVS0hvmvkzJttGA==" saltValue="8gBSk/oaaWJJz0zcrAFsq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SANTIAGO DE COMPOSTELA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4 al 4</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242</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0</v>
      </c>
      <c r="F10" s="683">
        <f>IF(ISNUMBER(Datos!L10+Datos!K10-Datos!J10),Datos!L10+Datos!K10-Datos!J10," - ")</f>
        <v>103</v>
      </c>
      <c r="G10" s="684">
        <f>IF(ISNUMBER(Datos!I10),Datos!I10," - ")</f>
        <v>103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34</v>
      </c>
      <c r="AC10" s="683" t="str">
        <f>IF(ISNUMBER(IF(D_I="SI",DatosP!K17,DatosP!K17+DatosP!AE17)),IF(D_I="SI",DatosP!K17,DatosP!K17+DatosP!AE17)," - ")</f>
        <v xml:space="preserve"> - </v>
      </c>
      <c r="AD10" s="685"/>
      <c r="AE10" s="685"/>
      <c r="AF10" s="688">
        <f>IF(ISNUMBER(Datos!L10),Datos!L10,"-")</f>
        <v>90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7.9411764705882355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103</v>
      </c>
      <c r="G13" s="938">
        <f t="shared" si="0"/>
        <v>103</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34</v>
      </c>
      <c r="AC13" s="939">
        <f t="shared" si="1"/>
        <v>0</v>
      </c>
      <c r="AD13" s="939">
        <f t="shared" si="1"/>
        <v>0</v>
      </c>
      <c r="AE13" s="939">
        <f t="shared" si="1"/>
        <v>0</v>
      </c>
      <c r="AF13" s="939">
        <f t="shared" si="1"/>
        <v>90</v>
      </c>
      <c r="AG13" s="939">
        <f t="shared" si="1"/>
        <v>0</v>
      </c>
      <c r="AH13" s="939">
        <f t="shared" si="1"/>
        <v>56</v>
      </c>
      <c r="AI13" s="939">
        <f t="shared" si="1"/>
        <v>0</v>
      </c>
      <c r="AJ13" s="939">
        <f t="shared" si="1"/>
        <v>0</v>
      </c>
      <c r="AK13" s="939">
        <f t="shared" si="1"/>
        <v>0</v>
      </c>
      <c r="AL13" s="939">
        <f t="shared" si="1"/>
        <v>5</v>
      </c>
      <c r="AM13" s="939">
        <f t="shared" si="1"/>
        <v>4</v>
      </c>
      <c r="AN13" s="939">
        <f t="shared" si="1"/>
        <v>0</v>
      </c>
      <c r="AO13" s="939">
        <f t="shared" si="1"/>
        <v>0</v>
      </c>
      <c r="AP13" s="944">
        <f>IF(ISNUMBER(((Datos!L13/Datos!K13)*11)/factor_trimestre),((Datos!L13/Datos!K13)*11)/factor_trimestre," - ")</f>
        <v>9.8108108108108105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-0.3300970873786408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5.3003048780487809</v>
      </c>
      <c r="AQ18" s="944">
        <f>IF(ISNUMBER(((Datos!M18/Datos!L18)*11)/factor_trimestre),((Datos!M18/Datos!L18)*11)/factor_trimestre," - ")</f>
        <v>0.23123382226056946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-3.0769230769230769E-3</v>
      </c>
      <c r="AW18" s="946">
        <f>IF(ISNUMBER((Datos!Q18-Datos!R18)/(Datos!S18-Datos!Q18+Datos!R18)),(Datos!Q18-Datos!R18)/(Datos!S18-Datos!Q18+Datos!R18)," - ")</f>
        <v>-8.5129704055535257E-2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103</v>
      </c>
      <c r="G19" s="951">
        <f t="shared" si="4"/>
        <v>103</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34</v>
      </c>
      <c r="AC19" s="957">
        <f t="shared" si="5"/>
        <v>0</v>
      </c>
      <c r="AD19" s="957">
        <f t="shared" si="5"/>
        <v>0</v>
      </c>
      <c r="AE19" s="957">
        <f t="shared" si="5"/>
        <v>0</v>
      </c>
      <c r="AF19" s="958">
        <f t="shared" si="5"/>
        <v>90</v>
      </c>
      <c r="AG19" s="958">
        <f t="shared" si="5"/>
        <v>0</v>
      </c>
      <c r="AH19" s="958">
        <f t="shared" si="5"/>
        <v>56</v>
      </c>
      <c r="AI19" s="958">
        <f t="shared" si="5"/>
        <v>0</v>
      </c>
      <c r="AJ19" s="959">
        <f t="shared" si="5"/>
        <v>0</v>
      </c>
      <c r="AK19" s="959">
        <f t="shared" si="5"/>
        <v>0</v>
      </c>
      <c r="AL19" s="951">
        <f t="shared" si="5"/>
        <v>5</v>
      </c>
      <c r="AM19" s="951">
        <f t="shared" si="5"/>
        <v>4</v>
      </c>
      <c r="AN19" s="951">
        <f t="shared" si="5"/>
        <v>0</v>
      </c>
      <c r="AO19" s="951">
        <f t="shared" si="5"/>
        <v>0</v>
      </c>
      <c r="AP19" s="951">
        <f>IF(ISNUMBER(((Datos!L19/Datos!K19)*11)/factor_trimestre),((Datos!L19/Datos!K19)*11)/factor_trimestre," - ")</f>
        <v>7.745987438939288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-0.3300970873786408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2.4331631120456592E-2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68.666666666666671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2.7568097504180442</v>
      </c>
      <c r="F21" s="736">
        <f>IF(ISNUMBER(STDEV(F8:F18)),STDEV(F8:F18),"-")</f>
        <v>59.46707772653145</v>
      </c>
      <c r="G21" s="737">
        <f>IF(ISNUMBER(STDEV(G8:G18)),STDEV(G8:G18),"-")</f>
        <v>59.46707772653145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19.629909152447276</v>
      </c>
      <c r="AC21" s="738">
        <f>IF(ISNUMBER(STDEV(AC8:AC18)),STDEV(AC8:AC18),"-")</f>
        <v>0</v>
      </c>
      <c r="AD21" s="741"/>
      <c r="AE21" s="741"/>
      <c r="AF21" s="741"/>
      <c r="AG21" s="741"/>
      <c r="AH21" s="741"/>
      <c r="AI21" s="741"/>
      <c r="AJ21" s="742">
        <f>IF(ISNUMBER(STDEV(AJ8:AJ18)),STDEV(AJ8:AJ18),"-")</f>
        <v>0</v>
      </c>
      <c r="AK21" s="744"/>
      <c r="AL21" s="736">
        <f>IF(ISNUMBER(STDEV(AL8:AL18)),STDEV(AL8:AL18),"-")</f>
        <v>2.8867513459481291</v>
      </c>
      <c r="AM21" s="736"/>
      <c r="AN21" s="736">
        <f>IF(ISNUMBER(STDEV(AN8:AN18)),STDEV(AN8:AN18),"-")</f>
        <v>0</v>
      </c>
      <c r="AO21" s="742">
        <f>IF(ISNUMBER(STDEV(AO8:AO18)),STDEV(AO8:AO18),"-")</f>
        <v>0</v>
      </c>
      <c r="AP21" s="779">
        <f>IF(ISNUMBER(STDEV(AP8:AP18)),STDEV(AP8:AP18),"-")</f>
        <v>2.2662156084503087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wQ+3rgGeSzkUv9pdaj3Z7Q6msZvtP+uJEYjXnJG0qDBH4St6TYOJgT2LDV/a+r2OemSRjAR6U6m7+f4aExD0tg==" saltValue="mphVFEVonsNYvUA1nGPRX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214</v>
      </c>
      <c r="B3" s="391" t="str">
        <f>Criterios!A10 &amp;"  "&amp;Criterios!B10</f>
        <v>Provincias  A CORUÑA</v>
      </c>
      <c r="C3" s="415"/>
      <c r="F3" s="375"/>
      <c r="G3" s="375"/>
      <c r="H3" s="375"/>
    </row>
    <row r="4" spans="1:15" ht="13.5" thickBot="1">
      <c r="A4" s="375"/>
      <c r="B4" s="391" t="str">
        <f>Criterios!A11 &amp;"  "&amp;Criterios!B11</f>
        <v>Resumenes por Partidos Judiciales  SANTIAGO DE COMPOSTELA</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7EZNiOZFdQs+IW9YmTQ7MI+RnKKZ6cD+Y6rfqp/Hs8mrN1yg0RkCbAIgI9hQ37b4pAibMFylnZZ0fU6RWqtKJg==" saltValue="VLy+6zL0UbTnNYKl9xusl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SANTIAGO DE COMPOSTELA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628</v>
      </c>
      <c r="E9" s="404">
        <f t="shared" ref="E9:E13" si="0">IF(ISNUMBER(D9/B9),D9/B9," - ")</f>
        <v>125.6</v>
      </c>
      <c r="F9" s="403">
        <f>IF(ISNUMBER(Datos!N9),Datos!N9," - ")</f>
        <v>832</v>
      </c>
      <c r="G9" s="404">
        <f t="shared" ref="G9:G13" si="1">IF(ISNUMBER(F9/B9),F9/B9," - ")</f>
        <v>166.4</v>
      </c>
      <c r="H9" s="403">
        <f>IF(ISNUMBER(Datos!O9),Datos!O9," - ")</f>
        <v>888</v>
      </c>
      <c r="I9" s="404">
        <f>IF(ISNUMBER(H9/B9),H9/B9," - ")</f>
        <v>177.6</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4</v>
      </c>
      <c r="G10" s="404">
        <f>IF(ISNUMBER(F10/B10),F10/B10," - ")</f>
        <v>4</v>
      </c>
      <c r="H10" s="403">
        <f>IF(ISNUMBER(Datos!O10),Datos!O10," - ")</f>
        <v>11</v>
      </c>
      <c r="I10" s="404">
        <f t="shared" ref="I10:I12" si="2">IF(ISNUMBER(H10/B10),H10/B10," - ")</f>
        <v>11</v>
      </c>
      <c r="BZ10" s="1186">
        <f>Datos!EZ10</f>
        <v>0</v>
      </c>
    </row>
    <row r="11" spans="1:78">
      <c r="A11" s="402" t="str">
        <f>Datos!A11</f>
        <v xml:space="preserve">Jdos. Familia                                   </v>
      </c>
      <c r="B11" s="427">
        <f>Datos!AO11</f>
        <v>1</v>
      </c>
      <c r="C11" s="410">
        <f>Datos!AQ11</f>
        <v>1</v>
      </c>
      <c r="D11" s="403">
        <f>IF(ISNUMBER(Datos!M11),Datos!M11," - ")</f>
        <v>106</v>
      </c>
      <c r="E11" s="404">
        <f t="shared" si="0"/>
        <v>106</v>
      </c>
      <c r="F11" s="403">
        <f>IF(ISNUMBER(Datos!N11),Datos!N11," - ")</f>
        <v>366</v>
      </c>
      <c r="G11" s="404">
        <f t="shared" si="1"/>
        <v>366</v>
      </c>
      <c r="H11" s="403">
        <f>IF(ISNUMBER(Datos!O11),Datos!O11," - ")</f>
        <v>97</v>
      </c>
      <c r="I11" s="404">
        <f t="shared" si="2"/>
        <v>97</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6</v>
      </c>
      <c r="C13" s="851">
        <f>Datos!AR13</f>
        <v>6</v>
      </c>
      <c r="D13" s="849">
        <f>SUBTOTAL(9,D9:D12)</f>
        <v>739</v>
      </c>
      <c r="E13" s="850">
        <f t="shared" si="0"/>
        <v>123.16666666666667</v>
      </c>
      <c r="F13" s="849">
        <f>SUBTOTAL(9,F9:F12)</f>
        <v>1202</v>
      </c>
      <c r="G13" s="850">
        <f t="shared" si="1"/>
        <v>200.33333333333334</v>
      </c>
      <c r="H13" s="849">
        <f>SUBTOTAL(9,H9:H12)</f>
        <v>996</v>
      </c>
      <c r="I13" s="850">
        <f>IF(ISNUMBER(H13/B13),H13/B13," - ")</f>
        <v>166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259</v>
      </c>
      <c r="E15" s="404">
        <f t="shared" ref="E15:E18" si="3">IF(ISNUMBER(D15/B15),D15/B15," - ")</f>
        <v>86.333333333333329</v>
      </c>
      <c r="F15" s="403">
        <f>IF(ISNUMBER(Datos!N15),Datos!N15," - ")</f>
        <v>1066</v>
      </c>
      <c r="G15" s="404">
        <f t="shared" ref="G15:G18" si="4">IF(ISNUMBER(F15/B15),F15/B15," - ")</f>
        <v>355.33333333333331</v>
      </c>
      <c r="H15" s="403">
        <f>IF(ISNUMBER(Datos!O15),Datos!O15," - ")</f>
        <v>64</v>
      </c>
      <c r="I15" s="404">
        <f t="shared" ref="I15:I17" si="5">IF(ISNUMBER(H15/B15),H15/B15," - ")</f>
        <v>21.333333333333332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41</v>
      </c>
      <c r="G17" s="404">
        <f>IF(ISNUMBER(F17/B17),F17/B17," - ")</f>
        <v>41</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268</v>
      </c>
      <c r="E18" s="850">
        <f t="shared" si="3"/>
        <v>89.333333333333329</v>
      </c>
      <c r="F18" s="849">
        <f>SUBTOTAL(9,F15:F17)</f>
        <v>1107</v>
      </c>
      <c r="G18" s="850">
        <f t="shared" si="4"/>
        <v>369</v>
      </c>
      <c r="H18" s="849">
        <f>SUBTOTAL(9,H15:H17)</f>
        <v>64</v>
      </c>
      <c r="I18" s="850">
        <f>IF(ISNUMBER(H18/B18),H18/B18," - ")</f>
        <v>21.333333333333332</v>
      </c>
      <c r="BZ18" s="1186"/>
    </row>
    <row r="19" spans="1:78" ht="14.25" thickTop="1" thickBot="1">
      <c r="A19" s="793" t="str">
        <f>Datos!A19</f>
        <v>TOTAL JURISDICCIONES</v>
      </c>
      <c r="B19" s="794">
        <f>Datos!AP19</f>
        <v>9</v>
      </c>
      <c r="C19" s="794">
        <f>Datos!AR19</f>
        <v>9</v>
      </c>
      <c r="D19" s="794">
        <f>SUBTOTAL(9,D8:D18)</f>
        <v>1007</v>
      </c>
      <c r="E19" s="795">
        <f>IF(ISNUMBER(D19/B19),D19/B19," - ")</f>
        <v>111.88888888888889</v>
      </c>
      <c r="F19" s="794">
        <f>SUBTOTAL(9,F8:F18)</f>
        <v>2309</v>
      </c>
      <c r="G19" s="795">
        <f>IF(ISNUMBER(F19/B19),F19/B19," - ")</f>
        <v>256.55555555555554</v>
      </c>
      <c r="H19" s="794">
        <f>SUBTOTAL(9,H8:H18)</f>
        <v>1060</v>
      </c>
      <c r="I19" s="795">
        <f>IF(ISNUMBER(H19/B19),H19/B19," - ")</f>
        <v>117.77777777777777</v>
      </c>
    </row>
    <row r="22" spans="1:78">
      <c r="A22" s="391" t="str">
        <f>Criterios!A4</f>
        <v>Fecha Informe: 27 feb. 2025</v>
      </c>
    </row>
    <row r="27" spans="1:78">
      <c r="A27" s="414"/>
    </row>
  </sheetData>
  <sheetProtection algorithmName="SHA-512" hashValue="1HT8WKTTKkz/BKfL0En3+Iqqlg1kxSfqh9Yx2pbSsptxCnjLgfxpwlOXkayM12BmpaUiZijE9Eo60f/G6qI0OQ==" saltValue="nntZMCaAoq8HMcZ9chyWH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SANTIAGO DE COMPOSTELA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407</v>
      </c>
      <c r="C9" s="434">
        <f>IF(ISNUMBER(Datos!Q9),Datos!Q9," - ")</f>
        <v>260</v>
      </c>
      <c r="D9" s="408">
        <f>IF(ISNUMBER(Datos!R9),Datos!R9," - ")</f>
        <v>5971</v>
      </c>
    </row>
    <row r="10" spans="1:4">
      <c r="A10" s="402" t="str">
        <f>Datos!A10</f>
        <v>Jdos. Violencia contra la mujer</v>
      </c>
      <c r="B10" s="433">
        <f>IF(ISNUMBER(Datos!P10),Datos!P10," - ")</f>
        <v>8</v>
      </c>
      <c r="C10" s="434">
        <f>IF(ISNUMBER(Datos!Q10),Datos!Q10," - ")</f>
        <v>5</v>
      </c>
      <c r="D10" s="408">
        <f>IF(ISNUMBER(Datos!R10),Datos!R10," - ")</f>
        <v>48</v>
      </c>
    </row>
    <row r="11" spans="1:4">
      <c r="A11" s="402" t="str">
        <f>Datos!A11</f>
        <v xml:space="preserve">Jdos. Familia                                   </v>
      </c>
      <c r="B11" s="433">
        <f>IF(ISNUMBER(Datos!P11),Datos!P11," - ")</f>
        <v>25</v>
      </c>
      <c r="C11" s="434">
        <f>IF(ISNUMBER(Datos!Q11),Datos!Q11," - ")</f>
        <v>12</v>
      </c>
      <c r="D11" s="408">
        <f>IF(ISNUMBER(Datos!R11),Datos!R11," - ")</f>
        <v>421</v>
      </c>
    </row>
    <row r="12" spans="1:4" ht="13.5" thickBot="1">
      <c r="A12" s="402" t="str">
        <f>Datos!A12</f>
        <v xml:space="preserve">Jdos. 1ª Instª. e Instr.                        </v>
      </c>
      <c r="B12" s="433">
        <f>IF(ISNUMBER(Datos!P12),Datos!P12," - ")</f>
        <v>0</v>
      </c>
      <c r="C12" s="434">
        <f>IF(ISNUMBER(Datos!Q12),Datos!Q12," - ")</f>
        <v>0</v>
      </c>
      <c r="D12" s="408">
        <f>IF(ISNUMBER(Datos!R12),Datos!R12," - ")</f>
        <v>56</v>
      </c>
    </row>
    <row r="13" spans="1:4" ht="14.25" thickTop="1" thickBot="1">
      <c r="A13" s="848" t="str">
        <f>Datos!A13</f>
        <v>TOTAL</v>
      </c>
      <c r="B13" s="849">
        <f>SUBTOTAL(9,B9:B12)</f>
        <v>440</v>
      </c>
      <c r="C13" s="853">
        <f>SUBTOTAL(9,C9:C12)</f>
        <v>277</v>
      </c>
      <c r="D13" s="851">
        <f>SUBTOTAL(9,D9:D12)</f>
        <v>6496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88</v>
      </c>
      <c r="C15" s="434">
        <f>IF(ISNUMBER(Datos!Q15),Datos!Q15," - ")</f>
        <v>91</v>
      </c>
      <c r="D15" s="408">
        <f>IF(ISNUMBER(Datos!R15),Datos!R15," - ")</f>
        <v>322</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0</v>
      </c>
      <c r="D17" s="408">
        <f>IF(ISNUMBER(Datos!R17),Datos!R17," - ")</f>
        <v>2</v>
      </c>
    </row>
    <row r="18" spans="1:4" ht="14.25" thickTop="1" thickBot="1">
      <c r="A18" s="848" t="str">
        <f>Datos!A18</f>
        <v>TOTAL</v>
      </c>
      <c r="B18" s="849">
        <f>SUBTOTAL(9,B15:B17)</f>
        <v>90</v>
      </c>
      <c r="C18" s="853">
        <f>SUBTOTAL(9,C15:C17)</f>
        <v>91</v>
      </c>
      <c r="D18" s="851">
        <f>SUBTOTAL(9,D15:D17)</f>
        <v>324</v>
      </c>
    </row>
    <row r="19" spans="1:4" ht="16.5" customHeight="1" thickTop="1" thickBot="1">
      <c r="A19" s="793" t="str">
        <f>Datos!A19</f>
        <v>TOTAL JURISDICCIONES</v>
      </c>
      <c r="B19" s="798">
        <f>SUBTOTAL(9,B8:B18)</f>
        <v>530</v>
      </c>
      <c r="C19" s="799">
        <f>SUBTOTAL(9,C8:C18)</f>
        <v>368</v>
      </c>
      <c r="D19" s="800">
        <f>SUBTOTAL(9,D8:D18)</f>
        <v>6820</v>
      </c>
    </row>
    <row r="20" spans="1:4" ht="7.5" customHeight="1"/>
    <row r="21" spans="1:4" ht="6" customHeight="1"/>
    <row r="22" spans="1:4">
      <c r="A22" s="391" t="str">
        <f>Criterios!A4</f>
        <v>Fecha Informe: 27 feb. 2025</v>
      </c>
    </row>
    <row r="27" spans="1:4">
      <c r="A27" s="414"/>
    </row>
  </sheetData>
  <sheetProtection algorithmName="SHA-512" hashValue="O4utL7a/7G/8yWTt3IhVXM3GsbqnkA88H5CpzU4b+AwxKXGt/lDtBuls93K3hppLKtd6eOcs2Zoldhww74Y8jg==" saltValue="M4EzV9AEWu4ZycOC2dW4a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SANTIAGO DE COMPOSTELA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0.36525047558655677</v>
      </c>
      <c r="C9" s="456">
        <f>IF(ISNUMBER(
   IF(J_V="SI",(Datos!J9-Datos!T9)/Datos!T9,(Datos!J9+Datos!Z9-(Datos!T9+Datos!AH9))/(Datos!T9+Datos!AH9))
     ),IF(J_V="SI",(Datos!J9-Datos!T9)/Datos!T9,(Datos!J9+Datos!Z9-(Datos!T9+Datos!AH9))/(Datos!T9+Datos!AH9))," - ")</f>
        <v>3.048780487804878E-2</v>
      </c>
      <c r="D9" s="456">
        <f>IF(ISNUMBER(
   IF(J_V="SI",(Datos!K9-Datos!U9)/Datos!U9,(Datos!K9+Datos!AA9-(Datos!U9+Datos!AI9))/(Datos!U9+Datos!AI9))
     ),IF(J_V="SI",(Datos!K9-Datos!U9)/Datos!U9,(Datos!K9+Datos!AA9-(Datos!U9+Datos!AI9))/(Datos!U9+Datos!AI9))," - ")</f>
        <v>0.19799777530589543</v>
      </c>
      <c r="E9" s="456">
        <f>IF(ISNUMBER(
   IF(J_V="SI",(Datos!L9-Datos!V9)/Datos!V9,(Datos!L9+Datos!AB9-(Datos!V9+Datos!AJ9))/(Datos!V9+Datos!AJ9))
     ),IF(J_V="SI",(Datos!L9-Datos!V9)/Datos!V9,(Datos!L9+Datos!AB9-(Datos!V9+Datos!AJ9))/(Datos!V9+Datos!AJ9))," - ")</f>
        <v>0.26831077322455033</v>
      </c>
      <c r="F9" s="456">
        <f>IF(ISNUMBER((Datos!M9-Datos!W9)/Datos!W9),(Datos!M9-Datos!W9)/Datos!W9," - ")</f>
        <v>0.37417943107221008</v>
      </c>
      <c r="G9" s="457">
        <f>IF(ISNUMBER((Datos!N9-Datos!X9)/Datos!X9),(Datos!N9-Datos!X9)/Datos!X9," - ")</f>
        <v>0.2040520984081042</v>
      </c>
      <c r="H9" s="455">
        <f>IF(ISNUMBER(((NºAsuntos!G9/NºAsuntos!E9)-Datos!BD9)/Datos!BD9),((NºAsuntos!G9/NºAsuntos!E9)-Datos!BD9)/Datos!BD9," - ")</f>
        <v>0.1625540541429992</v>
      </c>
      <c r="I9" s="456">
        <f>IF(ISNUMBER(((NºAsuntos!I9/NºAsuntos!G9)-Datos!BE9)/Datos!BE9),((NºAsuntos!I9/NºAsuntos!G9)-Datos!BE9)/Datos!BE9," - ")</f>
        <v>5.8692093898672935E-2</v>
      </c>
      <c r="J9" s="461">
        <f>IF(ISNUMBER((('Resol  Asuntos'!D9/NºAsuntos!G9)-Datos!BF9)/Datos!BF9),(('Resol  Asuntos'!D9/NºAsuntos!G9)-Datos!BF9)/Datos!BF9," - ")</f>
        <v>-0.24137773495815004</v>
      </c>
      <c r="K9" s="462">
        <f>IF(ISNUMBER((((NºAsuntos!C9+NºAsuntos!E9)/NºAsuntos!G9)-Datos!BG9)/Datos!BG9),(((NºAsuntos!C9+NºAsuntos!E9)/NºAsuntos!G9)-Datos!BG9)/Datos!BG9," - ")</f>
        <v>4.4017029953489523E-2</v>
      </c>
    </row>
    <row r="10" spans="1:11">
      <c r="A10" s="402" t="str">
        <f>Datos!A10</f>
        <v>Jdos. Violencia contra la mujer</v>
      </c>
      <c r="B10" s="455">
        <f>IF(ISNUMBER((Datos!I10-Datos!S10)/Datos!S10),(Datos!I10-Datos!S10)/Datos!S10," - ")</f>
        <v>4.0404040404040407E-2</v>
      </c>
      <c r="C10" s="456">
        <f>IF(ISNUMBER((Datos!J10-Datos!T10)/Datos!T10),(Datos!J10-Datos!T10)/Datos!T10," - ")</f>
        <v>-0.53333333333333333</v>
      </c>
      <c r="D10" s="456">
        <f>IF(ISNUMBER((Datos!K10-Datos!U10)/Datos!U10),(Datos!K10-Datos!U10)/Datos!U10," - ")</f>
        <v>0.21428571428571427</v>
      </c>
      <c r="E10" s="456">
        <f>IF(ISNUMBER((Datos!L10-Datos!V10)/Datos!V10),(Datos!L10-Datos!V10)/Datos!V10," - ")</f>
        <v>-0.22413793103448276</v>
      </c>
      <c r="F10" s="456">
        <f>IF(ISNUMBER((Datos!M10-Datos!W10)/Datos!W10),(Datos!M10-Datos!W10)/Datos!W10," - ")</f>
        <v>-0.58333333333333337</v>
      </c>
      <c r="G10" s="457">
        <f>IF(ISNUMBER((Datos!N10-Datos!X10)/Datos!X10),(Datos!N10-Datos!X10)/Datos!X10," - ")</f>
        <v>-0.63636363636363635</v>
      </c>
      <c r="H10" s="455">
        <f>IF(ISNUMBER(((NºAsuntos!G10/NºAsuntos!E10)-Datos!BD10)/Datos!BD10),((NºAsuntos!G10/NºAsuntos!E10)-Datos!BD10)/Datos!BD10," - ")</f>
        <v>1.6020408163265305</v>
      </c>
      <c r="I10" s="456">
        <f>IF(ISNUMBER(((NºAsuntos!I10/NºAsuntos!G10)-Datos!BE10)/Datos!BE10),((NºAsuntos!I10/NºAsuntos!G10)-Datos!BE10)/Datos!BE10," - ")</f>
        <v>-0.36105476673428</v>
      </c>
      <c r="J10" s="461">
        <f>IF(ISNUMBER((('Resol  Asuntos'!D10/NºAsuntos!G10)-Datos!BF10)/Datos!BF10),(('Resol  Asuntos'!D10/NºAsuntos!G10)-Datos!BF10)/Datos!BF10," - ")</f>
        <v>-0.65686274509803921</v>
      </c>
      <c r="K10" s="462">
        <f>IF(ISNUMBER((((NºAsuntos!C10+NºAsuntos!E10)/NºAsuntos!G10)-Datos!BG10)/Datos!BG10),(((NºAsuntos!C10+NºAsuntos!E10)/NºAsuntos!G10)-Datos!BG10)/Datos!BG10," - ")</f>
        <v>-0.29084967320261446</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-3.4924330616996507E-3</v>
      </c>
      <c r="C11" s="456">
        <f>IF(ISNUMBER(
   IF(J_V="SI",(Datos!J11-Datos!T11)/Datos!T11,(Datos!J11+Datos!Z11-(Datos!T11+Datos!AH11))/(Datos!T11+Datos!AH11))
     ),IF(J_V="SI",(Datos!J11-Datos!T11)/Datos!T11,(Datos!J11+Datos!Z11-(Datos!T11+Datos!AH11))/(Datos!T11+Datos!AH11))," - ")</f>
        <v>0.22568093385214008</v>
      </c>
      <c r="D11" s="456">
        <f>IF(ISNUMBER(
   IF(J_V="SI",(Datos!K11-Datos!U11)/Datos!U11,(Datos!K11+Datos!AA11-(Datos!U11+Datos!AI11))/(Datos!U11+Datos!AI11))
     ),IF(J_V="SI",(Datos!K11-Datos!U11)/Datos!U11,(Datos!K11+Datos!AA11-(Datos!U11+Datos!AI11))/(Datos!U11+Datos!AI11))," - ")</f>
        <v>0.36511627906976746</v>
      </c>
      <c r="E11" s="456">
        <f>IF(ISNUMBER(
   IF(J_V="SI",(Datos!L11-Datos!V11)/Datos!V11,(Datos!L11+Datos!AB11-(Datos!V11+Datos!AJ11))/(Datos!V11+Datos!AJ11))
     ),IF(J_V="SI",(Datos!L11-Datos!V11)/Datos!V11,(Datos!L11+Datos!AB11-(Datos!V11+Datos!AJ11))/(Datos!V11+Datos!AJ11))," - ")</f>
        <v>-4.6659597030752918E-2</v>
      </c>
      <c r="F11" s="456">
        <f>IF(ISNUMBER((Datos!M11-Datos!W11)/Datos!W11),(Datos!M11-Datos!W11)/Datos!W11," - ")</f>
        <v>2.9126213592233011E-2</v>
      </c>
      <c r="G11" s="457">
        <f>IF(ISNUMBER((Datos!N11-Datos!X11)/Datos!X11),(Datos!N11-Datos!X11)/Datos!X11," - ")</f>
        <v>7.331378299120235E-2</v>
      </c>
      <c r="H11" s="455">
        <f>IF(ISNUMBER(((NºAsuntos!G11/NºAsuntos!E11)-Datos!BD11)/Datos!BD11),((NºAsuntos!G11/NºAsuntos!E11)-Datos!BD11)/Datos!BD11," - ")</f>
        <v>0.11376153562200073</v>
      </c>
      <c r="I11" s="456">
        <f>IF(ISNUMBER(((NºAsuntos!I11/NºAsuntos!G11)-Datos!BE11)/Datos!BE11),((NºAsuntos!I11/NºAsuntos!G11)-Datos!BE11)/Datos!BE11," - ")</f>
        <v>-0.30164161281639479</v>
      </c>
      <c r="J11" s="461">
        <f>IF(ISNUMBER((('Resol  Asuntos'!D11/NºAsuntos!G11)-Datos!BF11)/Datos!BF11),(('Resol  Asuntos'!D11/NºAsuntos!G11)-Datos!BF11)/Datos!BF11," - ")</f>
        <v>-0.77229013773499122</v>
      </c>
      <c r="K11" s="462">
        <f>IF(ISNUMBER((((NºAsuntos!C11+NºAsuntos!E11)/NºAsuntos!G11)-Datos!BG11)/Datos!BG11),(((NºAsuntos!C11+NºAsuntos!E11)/NºAsuntos!G11)-Datos!BG11)/Datos!BG11," - ")</f>
        <v>-0.20717264449079406</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-1</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0.30369068541300526</v>
      </c>
      <c r="C13" s="855">
        <f>IF(ISNUMBER(
   IF(J_V="SI",(Datos!J13-Datos!T13)/Datos!T13,(Datos!J13+Datos!Z13-(Datos!T13+Datos!AH13))/(Datos!T13+Datos!AH13))
     ),IF(J_V="SI",(Datos!J13-Datos!T13)/Datos!T13,(Datos!J13+Datos!Z13-(Datos!T13+Datos!AH13))/(Datos!T13+Datos!AH13))," - ")</f>
        <v>5.5316329910566411E-2</v>
      </c>
      <c r="D13" s="855">
        <f>IF(ISNUMBER(
   IF(J_V="SI",(Datos!K13-Datos!U13)/Datos!U13,(Datos!K13+Datos!AA13-(Datos!U13+Datos!AI13))/(Datos!U13+Datos!AI13))
     ),IF(J_V="SI",(Datos!K13-Datos!U13)/Datos!U13,(Datos!K13+Datos!AA13-(Datos!U13+Datos!AI13))/(Datos!U13+Datos!AI13))," - ")</f>
        <v>0.23005319148936171</v>
      </c>
      <c r="E13" s="855">
        <f>IF(ISNUMBER(
   IF(J_V="SI",(Datos!L13-Datos!V13)/Datos!V13,(Datos!L13+Datos!AB13-(Datos!V13+Datos!AJ13))/(Datos!V13+Datos!AJ13))
     ),IF(J_V="SI",(Datos!L13-Datos!V13)/Datos!V13,(Datos!L13+Datos!AB13-(Datos!V13+Datos!AJ13))/(Datos!V13+Datos!AJ13))," - ")</f>
        <v>0.2132341546567488</v>
      </c>
      <c r="F13" s="856">
        <f>IF(ISNUMBER((Datos!M13-Datos!W13)/Datos!W13),(Datos!M13-Datos!W13)/Datos!W13," - ")</f>
        <v>0.29195804195804198</v>
      </c>
      <c r="G13" s="857">
        <f>IF(ISNUMBER((Datos!N13-Datos!X13)/Datos!X13),(Datos!N13-Datos!X13)/Datos!X13," - ")</f>
        <v>0.15244487056567593</v>
      </c>
      <c r="H13" s="857">
        <f>IF(ISNUMBER(((NºAsuntos!G13/NºAsuntos!E13)-Datos!BD13)/Datos!BD13),((NºAsuntos!G13/NºAsuntos!E13)-Datos!BD13)/Datos!BD13," - ")</f>
        <v>0.1655777103284316</v>
      </c>
      <c r="I13" s="857">
        <f>IF(ISNUMBER(((NºAsuntos!I13/NºAsuntos!G13)-Datos!BE13)/Datos!BE13),((NºAsuntos!I13/NºAsuntos!G13)-Datos!BE13)/Datos!BE13," - ")</f>
        <v>-1.3673422376351302E-2</v>
      </c>
      <c r="J13" s="857">
        <f>IF(ISNUMBER((('Resol  Asuntos'!D13/NºAsuntos!G13)-Datos!BF13)/Datos!BF13),(('Resol  Asuntos'!D13/NºAsuntos!G13)-Datos!BF13)/Datos!BF13," - ")</f>
        <v>-0.42453349901625759</v>
      </c>
      <c r="K13" s="857">
        <f>IF(ISNUMBER((((NºAsuntos!C13+NºAsuntos!E13)/NºAsuntos!G13)-Datos!BG13)/Datos!BG13),(((NºAsuntos!C13+NºAsuntos!E13)/NºAsuntos!G13)-Datos!BG13)/Datos!BG13," - ")</f>
        <v>-1.0131426638488339E-2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0.26433807675722293</v>
      </c>
      <c r="C15" s="456">
        <f>IF(ISNUMBER(
   IF(D_I="SI",(Datos!J15-Datos!T15)/Datos!T15,(Datos!J15+Datos!AD15-(Datos!T15+Datos!AL15))/(Datos!T15+Datos!AL15))
     ),IF(D_I="SI",(Datos!J15-Datos!T15)/Datos!T15,(Datos!J15+Datos!AD15-(Datos!T15+Datos!AL15))/(Datos!T15+Datos!AL15))," - ")</f>
        <v>-7.8111209179170346E-2</v>
      </c>
      <c r="D15" s="456">
        <f>IF(ISNUMBER(
   IF(D_I="SI",(Datos!K15-Datos!U15)/Datos!U15,(Datos!K15+Datos!AE15-(Datos!U15+Datos!AM15))/(Datos!U15+Datos!AM15))
     ),IF(D_I="SI",(Datos!K15-Datos!U15)/Datos!U15,(Datos!K15+Datos!AE15-(Datos!U15+Datos!AM15))/(Datos!U15+Datos!AM15))," - ")</f>
        <v>-0.13688562241616903</v>
      </c>
      <c r="E15" s="456">
        <f>IF(ISNUMBER(
   IF(D_I="SI",(Datos!L15-Datos!V15)/Datos!V15,(Datos!L15+Datos!AF15-(Datos!V15+Datos!AN15))/(Datos!V15+Datos!AN15))
     ),IF(D_I="SI",(Datos!L15-Datos!V15)/Datos!V15,(Datos!L15+Datos!AF15-(Datos!V15+Datos!AN15))/(Datos!V15+Datos!AN15))," - ")</f>
        <v>0.30107526881720431</v>
      </c>
      <c r="F15" s="456">
        <f>IF(ISNUMBER((Datos!M15-Datos!W15)/Datos!W15),(Datos!M15-Datos!W15)/Datos!W15," - ")</f>
        <v>2.3715415019762844E-2</v>
      </c>
      <c r="G15" s="457">
        <f>IF(ISNUMBER((Datos!N15-Datos!X15)/Datos!X15),(Datos!N15-Datos!X15)/Datos!X15," - ")</f>
        <v>9.46969696969697E-3</v>
      </c>
      <c r="H15" s="455">
        <f>IF(ISNUMBER(((NºAsuntos!G15/NºAsuntos!E15)-Datos!BD15)/Datos!BD15),((NºAsuntos!G15/NºAsuntos!E15)-Datos!BD15)/Datos!BD15," - ")</f>
        <v>-6.3754341979434651E-2</v>
      </c>
      <c r="I15" s="456">
        <f>IF(ISNUMBER(((NºAsuntos!I15/NºAsuntos!G15)-Datos!BE15)/Datos!BE15),((NºAsuntos!I15/NºAsuntos!G15)-Datos!BE15)/Datos!BE15," - ")</f>
        <v>0.50741929761312055</v>
      </c>
      <c r="J15" s="461">
        <f>IF(ISNUMBER((('Resol  Asuntos'!D15/NºAsuntos!G15)-Datos!BF15)/Datos!BF15),(('Resol  Asuntos'!D15/NºAsuntos!G15)-Datos!BF15)/Datos!BF15," - ")</f>
        <v>0.1860715585407258</v>
      </c>
      <c r="K15" s="462">
        <f>IF(ISNUMBER((((NºAsuntos!C15+NºAsuntos!E15)/NºAsuntos!G15)-Datos!BG15)/Datos!BG15),(((NºAsuntos!C15+NºAsuntos!E15)/NºAsuntos!G15)-Datos!BG15)/Datos!BG15," - ")</f>
        <v>0.2687689163880414</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0.76756756756756761</v>
      </c>
      <c r="C17" s="456">
        <f>IF(ISNUMBER(
   IF(D_I="SI",(Datos!J17-Datos!T17)/Datos!T17,(Datos!J17+Datos!AD17-(Datos!T17+Datos!AL17))/(Datos!T17+Datos!AL17))
     ),IF(D_I="SI",(Datos!J17-Datos!T17)/Datos!T17,(Datos!J17+Datos!AD17-(Datos!T17+Datos!AL17))/(Datos!T17+Datos!AL17))," - ")</f>
        <v>-0.38</v>
      </c>
      <c r="D17" s="456">
        <f>IF(ISNUMBER(
   IF(D_I="SI",(Datos!K17-Datos!U17)/Datos!U17,(Datos!K17+Datos!AE17-(Datos!U17+Datos!AM17))/(Datos!U17+Datos!AM17))
     ),IF(D_I="SI",(Datos!K17-Datos!U17)/Datos!U17,(Datos!K17+Datos!AE17-(Datos!U17+Datos!AM17))/(Datos!U17+Datos!AM17))," - ")</f>
        <v>-0.27049180327868855</v>
      </c>
      <c r="E17" s="456">
        <f>IF(ISNUMBER(
   IF(D_I="SI",(Datos!L17-Datos!V17)/Datos!V17,(Datos!L17+Datos!AF17-(Datos!V17+Datos!AN17))/(Datos!V17+Datos!AN17))
     ),IF(D_I="SI",(Datos!L17-Datos!V17)/Datos!V17,(Datos!L17+Datos!AF17-(Datos!V17+Datos!AN17))/(Datos!V17+Datos!AN17))," - ")</f>
        <v>0.5539906103286385</v>
      </c>
      <c r="F17" s="456">
        <f>IF(ISNUMBER((Datos!M17-Datos!W17)/Datos!W17),(Datos!M17-Datos!W17)/Datos!W17," - ")</f>
        <v>-0.5714285714285714</v>
      </c>
      <c r="G17" s="457">
        <f>IF(ISNUMBER((Datos!N17-Datos!X17)/Datos!X17),(Datos!N17-Datos!X17)/Datos!X17," - ")</f>
        <v>5.128205128205128E-2</v>
      </c>
      <c r="H17" s="455">
        <f>IF(ISNUMBER(((NºAsuntos!G17/NºAsuntos!E17)-Datos!BD17)/Datos!BD17),((NºAsuntos!G17/NºAsuntos!E17)-Datos!BD17)/Datos!BD17," - ")</f>
        <v>0.17662612374405079</v>
      </c>
      <c r="I17" s="456">
        <f>IF(ISNUMBER(((NºAsuntos!I17/NºAsuntos!G17)-Datos!BE17)/Datos!BE17),((NºAsuntos!I17/NºAsuntos!G17)-Datos!BE17)/Datos!BE17," - ")</f>
        <v>1.130189375956111</v>
      </c>
      <c r="J17" s="461">
        <f>IF(ISNUMBER((('Resol  Asuntos'!D17/NºAsuntos!G17)-Datos!BF17)/Datos!BF17),(('Resol  Asuntos'!D17/NºAsuntos!G17)-Datos!BF17)/Datos!BF17," - ")</f>
        <v>-0.41252006420545745</v>
      </c>
      <c r="K17" s="462">
        <f>IF(ISNUMBER((((NºAsuntos!C17+NºAsuntos!E17)/NºAsuntos!G17)-Datos!BG17)/Datos!BG17),(((NºAsuntos!C17+NºAsuntos!E17)/NºAsuntos!G17)-Datos!BG17)/Datos!BG17," - ")</f>
        <v>0.71859802113030347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0.30151757188498401</v>
      </c>
      <c r="C18" s="855">
        <f>IF(ISNUMBER(
   IF(Criterios!B14="SI",(Datos!J18-Datos!T18)/Datos!T18,(Datos!J18+Datos!AD18-(Datos!T18+Datos!AL18))/(Datos!T18+Datos!AL18))
     ),IF(Criterios!B14="SI",(Datos!J18-Datos!T18)/Datos!T18,(Datos!J18+Datos!AD18-(Datos!T18+Datos!AL18))/(Datos!T18+Datos!AL18))," - ")</f>
        <v>-9.6854304635761584E-2</v>
      </c>
      <c r="D18" s="855">
        <f>IF(ISNUMBER(
   IF(Criterios!B14="SI",(Datos!K18-Datos!U18)/Datos!U18,(Datos!K18+Datos!AE18-(Datos!U18+Datos!AM18))/(Datos!U18+Datos!AM18))
     ),IF(Criterios!B14="SI",(Datos!K18-Datos!U18)/Datos!U18,(Datos!K18+Datos!AE18-(Datos!U18+Datos!AM18))/(Datos!U18+Datos!AM18))," - ")</f>
        <v>-0.14397564158329709</v>
      </c>
      <c r="E18" s="855">
        <f>IF(ISNUMBER(
   IF(Criterios!B14="SI",(Datos!L18-Datos!V18)/Datos!V18,(Datos!L18+Datos!AF18-(Datos!V18+Datos!AN18))/(Datos!V18+Datos!AN18))
     ),IF(Criterios!B14="SI",(Datos!L18-Datos!V18)/Datos!V18,(Datos!L18+Datos!AF18-(Datos!V18+Datos!AN18))/(Datos!V18+Datos!AN18))," - ")</f>
        <v>0.32155074116305588</v>
      </c>
      <c r="F18" s="856">
        <f>IF(ISNUMBER((Datos!M18-Datos!W18)/Datos!W18),(Datos!M18-Datos!W18)/Datos!W18," - ")</f>
        <v>-2.1897810218978103E-2</v>
      </c>
      <c r="G18" s="857">
        <f>IF(ISNUMBER((Datos!N18-Datos!X18)/Datos!X18),(Datos!N18-Datos!X18)/Datos!X18," - ")</f>
        <v>1.0958904109589041E-2</v>
      </c>
      <c r="H18" s="857">
        <f>IF(ISNUMBER(((NºAsuntos!G18/NºAsuntos!E18)-Datos!BD18)/Datos!BD18),((NºAsuntos!G18/NºAsuntos!E18)-Datos!BD18)/Datos!BD18," - ")</f>
        <v>-5.2174679223302461E-2</v>
      </c>
      <c r="I18" s="857">
        <f>IF(ISNUMBER(((NºAsuntos!I18/NºAsuntos!G18)-Datos!BE18)/Datos!BE18),((NºAsuntos!I18/NºAsuntos!G18)-Datos!BE18)/Datos!BE18," - ")</f>
        <v>0.54382375708021624</v>
      </c>
      <c r="J18" s="857">
        <f>IF(ISNUMBER((('Resol  Asuntos'!D18/NºAsuntos!G18)-Datos!BF18)/Datos!BF18),(('Resol  Asuntos'!D18/NºAsuntos!G18)-Datos!BF18)/Datos!BF18," - ")</f>
        <v>0.14261023084683389</v>
      </c>
      <c r="K18" s="857">
        <f>IF(ISNUMBER((((NºAsuntos!C18+NºAsuntos!E18)/NºAsuntos!G18)-Datos!BG18)/Datos!BG18),(((NºAsuntos!C18+NºAsuntos!E18)/NºAsuntos!G18)-Datos!BG18)/Datos!BG18," - ")</f>
        <v>0.29189584159561105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0.30302660483280447</v>
      </c>
      <c r="C19" s="802">
        <f>IF(ISNUMBER(
   IF(J_V="SI",(Datos!J19-Datos!T19)/Datos!T19,(Datos!J19+Datos!Z19-(Datos!T19+Datos!AH19))/(Datos!T19+Datos!AH19))
     ),IF(J_V="SI",(Datos!J19-Datos!T19)/Datos!T19,(Datos!J19+Datos!Z19-(Datos!T19+Datos!AH19))/(Datos!T19+Datos!AH19))," - ")</f>
        <v>-1.2327506899724011E-2</v>
      </c>
      <c r="D19" s="802">
        <f>IF(ISNUMBER(
   IF(J_V="SI",(Datos!K19-Datos!U19)/Datos!U19,(Datos!K19+Datos!AA19-(Datos!U19+Datos!AI19))/(Datos!U19+Datos!AI19))
     ),IF(J_V="SI",(Datos!K19-Datos!U19)/Datos!U19,(Datos!K19+Datos!AA19-(Datos!U19+Datos!AI19))/(Datos!U19+Datos!AI19))," - ")</f>
        <v>4.1273326015367727E-2</v>
      </c>
      <c r="E19" s="802">
        <f>IF(ISNUMBER(
   IF(J_V="SI",(Datos!L19-Datos!V19)/Datos!V19,(Datos!L19+Datos!AB19-(Datos!V19+Datos!AJ19))/(Datos!V19+Datos!AJ19))
     ),IF(J_V="SI",(Datos!L19-Datos!V19)/Datos!V19,(Datos!L19+Datos!AB19-(Datos!V19+Datos!AJ19))/(Datos!V19+Datos!AJ19))," - ")</f>
        <v>0.24460590048436812</v>
      </c>
      <c r="F19" s="803">
        <f>IF(ISNUMBER((Datos!M19-Datos!W19)/Datos!W19),(Datos!M19-Datos!W19)/Datos!W19," - ")</f>
        <v>0.19030732860520094</v>
      </c>
      <c r="G19" s="804">
        <f>IF(ISNUMBER((Datos!N19-Datos!X19)/Datos!X19),(Datos!N19-Datos!X19)/Datos!X19," - ")</f>
        <v>7.9981290926099152E-2</v>
      </c>
      <c r="H19" s="805">
        <f>IF(ISNUMBER((Tasas!B19-Datos!BD19)/Datos!BD19),(Tasas!B19-Datos!BD19)/Datos!BD19," - ")</f>
        <v>5.4269844801327002E-2</v>
      </c>
      <c r="I19" s="806">
        <f>IF(ISNUMBER((Tasas!C19-Datos!BE19)/Datos!BE19),(Tasas!C19-Datos!BE19)/Datos!BE19," - ")</f>
        <v>0.19527300794988336</v>
      </c>
      <c r="J19" s="807">
        <f>IF(ISNUMBER((Tasas!D19-Datos!BF19)/Datos!BF19),(Tasas!D19-Datos!BF19)/Datos!BF19," - ")</f>
        <v>-0.26624796801420003</v>
      </c>
      <c r="K19" s="807">
        <f>IF(ISNUMBER((Tasas!E19-Datos!BG19)/Datos!BG19),(Tasas!E19-Datos!BG19)/Datos!BG19," - ")</f>
        <v>0.13060522075412881</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3PmSzNRwwKwxlcS5z2C/0Qq5EiSslHX53U8RFvLa3RuEbhKAfjyD4O/hH5eweoHal3Jlhxjr1wm3ti47cEO0Q==" saltValue="n8ckIBwLfv73v2P8WHxqc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SANTIAGO DE COMPOSTELA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0.84970414201183431</v>
      </c>
      <c r="C9" s="443">
        <f>IF(ISNUMBER(NºAsuntos!I9/NºAsuntos!G9),NºAsuntos!I9/NºAsuntos!G9," - ")</f>
        <v>3.1754874651810585</v>
      </c>
      <c r="D9" s="444">
        <f>IF(ISNUMBER('Resol  Asuntos'!D9/NºAsuntos!G9),'Resol  Asuntos'!D9/NºAsuntos!G9," - ")</f>
        <v>0.29155060352831941</v>
      </c>
      <c r="E9" s="445">
        <f>IF(ISNUMBER((NºAsuntos!C9+NºAsuntos!E9)/NºAsuntos!G9),(NºAsuntos!C9+NºAsuntos!E9)/NºAsuntos!G9," - ")</f>
        <v>4.1754874651810585</v>
      </c>
      <c r="G9" s="463"/>
    </row>
    <row r="10" spans="1:7">
      <c r="A10" s="402" t="str">
        <f>Datos!A10</f>
        <v>Jdos. Violencia contra la mujer</v>
      </c>
      <c r="B10" s="442">
        <f>IF(ISNUMBER(NºAsuntos!G10/NºAsuntos!E10),NºAsuntos!G10/NºAsuntos!E10," - ")</f>
        <v>1.6190476190476191</v>
      </c>
      <c r="C10" s="443">
        <f>IF(ISNUMBER(NºAsuntos!I10/NºAsuntos!G10),NºAsuntos!I10/NºAsuntos!G10," - ")</f>
        <v>2.6470588235294117</v>
      </c>
      <c r="D10" s="444">
        <f>IF(ISNUMBER('Resol  Asuntos'!D10/NºAsuntos!G10),'Resol  Asuntos'!D10/NºAsuntos!G10," - ")</f>
        <v>0.14705882352941177</v>
      </c>
      <c r="E10" s="445">
        <f>IF(ISNUMBER((NºAsuntos!C10+NºAsuntos!E10)/NºAsuntos!G10),(NºAsuntos!C10+NºAsuntos!E10)/NºAsuntos!G10," - ")</f>
        <v>3.6470588235294117</v>
      </c>
      <c r="G10" s="463"/>
    </row>
    <row r="11" spans="1:7">
      <c r="A11" s="402" t="str">
        <f>Datos!A11</f>
        <v xml:space="preserve">Jdos. Familia                                   </v>
      </c>
      <c r="B11" s="442">
        <f>IF(ISNUMBER(NºAsuntos!G11/NºAsuntos!E11),NºAsuntos!G11/NºAsuntos!E11," - ")</f>
        <v>0.93174603174603177</v>
      </c>
      <c r="C11" s="443">
        <f>IF(ISNUMBER(NºAsuntos!I11/NºAsuntos!G11),NºAsuntos!I11/NºAsuntos!G11," - ")</f>
        <v>1.5315161839863713</v>
      </c>
      <c r="D11" s="444">
        <f>IF(ISNUMBER('Resol  Asuntos'!D11/NºAsuntos!G11),'Resol  Asuntos'!D11/NºAsuntos!G11," - ")</f>
        <v>0.18057921635434412</v>
      </c>
      <c r="E11" s="445">
        <f>IF(ISNUMBER((NºAsuntos!C11+NºAsuntos!E11)/NºAsuntos!G11),(NºAsuntos!C11+NºAsuntos!E11)/NºAsuntos!G11," - ")</f>
        <v>2.5315161839863713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0.87099811676082861</v>
      </c>
      <c r="C13" s="859">
        <f>IF(ISNUMBER(NºAsuntos!I13/NºAsuntos!G13),NºAsuntos!I13/NºAsuntos!G13," - ")</f>
        <v>2.8212612612612613</v>
      </c>
      <c r="D13" s="860">
        <f>IF(ISNUMBER('Resol  Asuntos'!D13/NºAsuntos!G13),'Resol  Asuntos'!D13/NºAsuntos!G13," - ")</f>
        <v>0.26630630630630631</v>
      </c>
      <c r="E13" s="861">
        <f>IF(ISNUMBER((NºAsuntos!C13+NºAsuntos!E13)/NºAsuntos!G13),(NºAsuntos!C13+NºAsuntos!E13)/NºAsuntos!G13," - ")</f>
        <v>3.8212612612612613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0.89947343226424126</v>
      </c>
      <c r="C15" s="443">
        <f>IF(ISNUMBER(NºAsuntos!I15/NºAsuntos!G15),NºAsuntos!I15/NºAsuntos!G15," - ")</f>
        <v>1.6742948376796167</v>
      </c>
      <c r="D15" s="444">
        <f>IF(ISNUMBER('Resol  Asuntos'!D15/NºAsuntos!G15),'Resol  Asuntos'!D15/NºAsuntos!G15," - ")</f>
        <v>0.1378392762107504</v>
      </c>
      <c r="E15" s="445">
        <f>IF(ISNUMBER((NºAsuntos!C15+NºAsuntos!E15)/NºAsuntos!G15),(NºAsuntos!C15+NºAsuntos!E15)/NºAsuntos!G15," - ")</f>
        <v>2.6721660457690262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0.956989247311828</v>
      </c>
      <c r="C17" s="443">
        <f>IF(ISNUMBER(NºAsuntos!I17/NºAsuntos!G17),NºAsuntos!I17/NºAsuntos!G17," - ")</f>
        <v>3.7191011235955056</v>
      </c>
      <c r="D17" s="444">
        <f>IF(ISNUMBER('Resol  Asuntos'!D17/NºAsuntos!G17),'Resol  Asuntos'!D17/NºAsuntos!G17," - ")</f>
        <v>0.10112359550561797</v>
      </c>
      <c r="E17" s="445">
        <f>IF(ISNUMBER((NºAsuntos!C17+NºAsuntos!E17)/NºAsuntos!G17),(NºAsuntos!C17+NºAsuntos!E17)/NºAsuntos!G17," - ")</f>
        <v>4.7191011235955056</v>
      </c>
      <c r="G17" s="463"/>
    </row>
    <row r="18" spans="1:7" ht="14.25" thickTop="1" thickBot="1">
      <c r="A18" s="848" t="str">
        <f>Datos!A18</f>
        <v>TOTAL</v>
      </c>
      <c r="B18" s="858">
        <f>IF(ISNUMBER(NºAsuntos!G18/NºAsuntos!E18),NºAsuntos!G18/NºAsuntos!E18," - ")</f>
        <v>0.90192483959670022</v>
      </c>
      <c r="C18" s="859">
        <f>IF(ISNUMBER(NºAsuntos!I18/NºAsuntos!G18),NºAsuntos!I18/NºAsuntos!G18," - ")</f>
        <v>1.7667682926829269</v>
      </c>
      <c r="D18" s="862">
        <f>IF(ISNUMBER('Resol  Asuntos'!D18/NºAsuntos!G18),'Resol  Asuntos'!D18/NºAsuntos!G18," - ")</f>
        <v>0.13617886178861788</v>
      </c>
      <c r="E18" s="861">
        <f>IF(ISNUMBER((NºAsuntos!C18+NºAsuntos!E18)/NºAsuntos!G18),(NºAsuntos!C18+NºAsuntos!E18)/NºAsuntos!G18," - ")</f>
        <v>2.7647357723577235</v>
      </c>
      <c r="G18" s="463"/>
    </row>
    <row r="19" spans="1:7" ht="15.75" customHeight="1" thickTop="1" thickBot="1">
      <c r="A19" s="793" t="str">
        <f>Datos!A19</f>
        <v>TOTAL JURISDICCIONES</v>
      </c>
      <c r="B19" s="808">
        <f>IF(ISNUMBER(NºAsuntos!G19/NºAsuntos!E19),NºAsuntos!G19/NºAsuntos!E19," - ")</f>
        <v>0.88356929955290608</v>
      </c>
      <c r="C19" s="809">
        <f>IF(ISNUMBER(NºAsuntos!I19/NºAsuntos!G19),NºAsuntos!I19/NºAsuntos!G19," - ")</f>
        <v>2.3837233818258485</v>
      </c>
      <c r="D19" s="810">
        <f>IF(ISNUMBER('Resol  Asuntos'!D19/NºAsuntos!G19),'Resol  Asuntos'!D19/NºAsuntos!G19," - ")</f>
        <v>0.21231288214210414</v>
      </c>
      <c r="E19" s="811">
        <f>IF(ISNUMBER((NºAsuntos!C19+NºAsuntos!E19)/NºAsuntos!G19),(NºAsuntos!C19+NºAsuntos!E19)/NºAsuntos!G19," - ")</f>
        <v>3.3828800337339238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jpzFicpbJnGO7avFd+qY9u8PkQDoJmugS0EH4FWucw825ZfyMjKLpQAOos0z/Q8naVMGA3c5C+LtISjVPOjZA==" saltValue="+QQpbCwHVy1L1y2ns6qVY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SANTIAGO DE COMPOSTELA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4 al 4</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242</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407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260</v>
      </c>
      <c r="Y9" s="334">
        <f>SUM(W9:X9)</f>
        <v>260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5971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628</v>
      </c>
      <c r="AJ9" s="229" t="str">
        <f>IF(ISNUMBER(Datos!BW9),Datos!BW9," - ")</f>
        <v xml:space="preserve"> - </v>
      </c>
      <c r="AK9" s="228" t="str">
        <f>IF(ISNUMBER(Datos!BX9),Datos!BX9," - ")</f>
        <v xml:space="preserve"> - </v>
      </c>
      <c r="AL9" s="243">
        <f>IF(ISNUMBER(NºAsuntos!G9/NºAsuntos!E9),NºAsuntos!G9/NºAsuntos!E9," - ")</f>
        <v>0.84970414201183431</v>
      </c>
      <c r="AM9" s="260">
        <f>IF(ISNUMBER(((NºAsuntos!I9/NºAsuntos!G9)*11)/factor_trimestre),((NºAsuntos!I9/NºAsuntos!G9)*11)/factor_trimestre," - ")</f>
        <v>9.5264623955431755</v>
      </c>
      <c r="AN9" s="244">
        <f>IF(ISNUMBER('Resol  Asuntos'!D9/NºAsuntos!G9),'Resol  Asuntos'!D9/NºAsuntos!G9," - ")</f>
        <v>0.29155060352831941</v>
      </c>
      <c r="AO9" s="245">
        <f>IF(ISNUMBER((NºAsuntos!C9+NºAsuntos!E9)/NºAsuntos!G9),(NºAsuntos!C9+NºAsuntos!E9)/NºAsuntos!G9," - ")</f>
        <v>4.1754874651810585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0</v>
      </c>
      <c r="F10" s="225">
        <f>IF(ISNUMBER(Datos!L10+Datos!K10-Datos!J10-K10),Datos!L10+Datos!K10-Datos!J10-K10," - ")</f>
        <v>103</v>
      </c>
      <c r="G10" s="333">
        <f>IF(ISNUMBER(Datos!I10),Datos!I10," - ")</f>
        <v>103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34</v>
      </c>
      <c r="X10" s="226">
        <f>IF(ISNUMBER(Datos!Q10),Datos!Q10," - ")</f>
        <v>5</v>
      </c>
      <c r="Y10" s="334">
        <f t="shared" ref="Y10:Y12" si="0">SUM(W10:X10)</f>
        <v>39</v>
      </c>
      <c r="Z10" s="335" t="str">
        <f>IF(ISNUMBER(Datos!CC10),Datos!CC10," - ")</f>
        <v xml:space="preserve"> - </v>
      </c>
      <c r="AA10" s="332">
        <f>IF(ISNUMBER(Datos!L10),Datos!L10,"-")</f>
        <v>90</v>
      </c>
      <c r="AB10" s="334">
        <f>IF(ISNUMBER(Datos!R10),Datos!R10," - ")</f>
        <v>48</v>
      </c>
      <c r="AC10" s="334">
        <f t="shared" ref="AC10:AC12" si="1">IF(ISNUMBER(AA10+AB10),AA10+AB10," - ")</f>
        <v>138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1.6190476190476191</v>
      </c>
      <c r="AM10" s="260">
        <f>IF(ISNUMBER(((NºAsuntos!I10/NºAsuntos!G10)*11)/factor_trimestre),((NºAsuntos!I10/NºAsuntos!G10)*11)/factor_trimestre," - ")</f>
        <v>7.9411764705882355</v>
      </c>
      <c r="AN10" s="244">
        <f>IF(ISNUMBER('Resol  Asuntos'!D10/NºAsuntos!G10),'Resol  Asuntos'!D10/NºAsuntos!G10," - ")</f>
        <v>0.14705882352941177</v>
      </c>
      <c r="AO10" s="245">
        <f>IF(ISNUMBER((NºAsuntos!C10+NºAsuntos!E10)/NºAsuntos!G10),(NºAsuntos!C10+NºAsuntos!E10)/NºAsuntos!G10," - ")</f>
        <v>3.6470588235294117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12</v>
      </c>
      <c r="Y11" s="334">
        <f t="shared" si="0"/>
        <v>12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421</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106</v>
      </c>
      <c r="AJ11" s="231" t="str">
        <f>IF(ISNUMBER(Datos!BW11),Datos!BW11," - ")</f>
        <v xml:space="preserve"> - </v>
      </c>
      <c r="AK11" s="232" t="str">
        <f>IF(ISNUMBER(Datos!BX11),Datos!BX11," - ")</f>
        <v xml:space="preserve"> - </v>
      </c>
      <c r="AL11" s="243">
        <f>IF(ISNUMBER(NºAsuntos!G11/NºAsuntos!E11),NºAsuntos!G11/NºAsuntos!E11," - ")</f>
        <v>0.93174603174603177</v>
      </c>
      <c r="AM11" s="260">
        <f>IF(ISNUMBER(((NºAsuntos!I11/NºAsuntos!G11)*11)/factor_trimestre),((NºAsuntos!I11/NºAsuntos!G11)*11)/factor_trimestre," - ")</f>
        <v>4.5945485519591145</v>
      </c>
      <c r="AN11" s="244">
        <f>IF(ISNUMBER('Resol  Asuntos'!D11/NºAsuntos!G11),'Resol  Asuntos'!D11/NºAsuntos!G11," - ")</f>
        <v>0.18057921635434412</v>
      </c>
      <c r="AO11" s="245">
        <f>IF(ISNUMBER((NºAsuntos!C11+NºAsuntos!E11)/NºAsuntos!G11),(NºAsuntos!C11+NºAsuntos!E11)/NºAsuntos!G11," - ")</f>
        <v>2.5315161839863713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0</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103</v>
      </c>
      <c r="G13" s="866">
        <f t="shared" si="3"/>
        <v>103</v>
      </c>
      <c r="H13" s="865">
        <f t="shared" si="3"/>
        <v>0</v>
      </c>
      <c r="I13" s="867">
        <f t="shared" si="3"/>
        <v>0</v>
      </c>
      <c r="J13" s="867">
        <f t="shared" si="3"/>
        <v>0</v>
      </c>
      <c r="K13" s="867">
        <f t="shared" si="3"/>
        <v>0</v>
      </c>
      <c r="L13" s="867">
        <f t="shared" si="3"/>
        <v>440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34</v>
      </c>
      <c r="X13" s="867">
        <f t="shared" si="4"/>
        <v>277</v>
      </c>
      <c r="Y13" s="868">
        <f t="shared" si="4"/>
        <v>311</v>
      </c>
      <c r="Z13" s="868">
        <f t="shared" si="4"/>
        <v>0</v>
      </c>
      <c r="AA13" s="868">
        <f t="shared" si="4"/>
        <v>90</v>
      </c>
      <c r="AB13" s="868">
        <f t="shared" si="4"/>
        <v>6496</v>
      </c>
      <c r="AC13" s="868">
        <f t="shared" si="4"/>
        <v>138</v>
      </c>
      <c r="AD13" s="868">
        <f t="shared" si="4"/>
        <v>0</v>
      </c>
      <c r="AE13" s="872">
        <f t="shared" si="4"/>
        <v>0</v>
      </c>
      <c r="AF13" s="865">
        <f t="shared" si="4"/>
        <v>0</v>
      </c>
      <c r="AG13" s="873">
        <f t="shared" si="4"/>
        <v>0</v>
      </c>
      <c r="AH13" s="870">
        <f t="shared" si="4"/>
        <v>0</v>
      </c>
      <c r="AI13" s="865">
        <f t="shared" si="4"/>
        <v>739</v>
      </c>
      <c r="AJ13" s="867">
        <f t="shared" si="4"/>
        <v>0</v>
      </c>
      <c r="AK13" s="870">
        <f>SUBTOTAL(9,AK9:AK12)</f>
        <v>0</v>
      </c>
      <c r="AL13" s="874">
        <f>IF(ISNUMBER(NºAsuntos!G13/NºAsuntos!E13),NºAsuntos!G13/NºAsuntos!E13," - ")</f>
        <v>0.87099811676082861</v>
      </c>
      <c r="AM13" s="874">
        <f>IF(ISNUMBER(((NºAsuntos!I13/NºAsuntos!G13)*11)/factor_trimestre),((NºAsuntos!I13/NºAsuntos!G13)*11)/factor_trimestre," - ")</f>
        <v>8.4637837837837839</v>
      </c>
      <c r="AN13" s="875">
        <f>IF(ISNUMBER('Resol  Asuntos'!D13/NºAsuntos!G13),'Resol  Asuntos'!D13/NºAsuntos!G13," - ")</f>
        <v>0.26630630630630631</v>
      </c>
      <c r="AO13" s="876">
        <f>IF(ISNUMBER((NºAsuntos!C13+NºAsuntos!E13)/NºAsuntos!G13),(NºAsuntos!C13+NºAsuntos!E13)/NºAsuntos!G13," - ")</f>
        <v>3.8212612612612613</v>
      </c>
      <c r="AP13" s="877" t="str">
        <f t="shared" si="2"/>
        <v xml:space="preserve"> - </v>
      </c>
      <c r="AQ13" s="877">
        <f>IF(ISNUMBER((H13-W13+K13)/(F13)),(H13-W13+K13)/(F13)," - ")</f>
        <v>-0.3300970873786408</v>
      </c>
      <c r="AR13" s="878">
        <f>IF(ISNUMBER((Datos!P13-Datos!Q13)/(Datos!R13-Datos!P13+Datos!Q13)),(Datos!P13-Datos!Q13)/(Datos!R13-Datos!P13+Datos!Q13)," - ")</f>
        <v>2.5738196747197222E-2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392</v>
      </c>
      <c r="C15" s="160" t="str">
        <f>Datos!A15</f>
        <v xml:space="preserve">Jdos. Instrucción                               </v>
      </c>
      <c r="D15" s="160"/>
      <c r="E15" s="1025">
        <f>IF(ISNUMBER(Datos!AQ15),Datos!AQ15," - ")</f>
        <v>3</v>
      </c>
      <c r="F15" s="225">
        <f>IF(ISNUMBER(AA15+W15-Datos!J15-K15),AA15+W15-Datos!J15-K15," - ")</f>
        <v>2936</v>
      </c>
      <c r="G15" s="333">
        <f>IF(ISNUMBER(IF(D_I="SI",Datos!I15,Datos!I15+Datos!AC15)),IF(D_I="SI",Datos!I15,Datos!I15+Datos!AC15)," - ")</f>
        <v>2932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1879</v>
      </c>
      <c r="X15" s="226">
        <f>IF(ISNUMBER(Datos!Q15),Datos!Q15," - ")</f>
        <v>91</v>
      </c>
      <c r="Y15" s="334">
        <f>SUM(W15)</f>
        <v>1879</v>
      </c>
      <c r="Z15" s="335" t="str">
        <f>IF(ISNUMBER(Datos!CC15),Datos!CC15," - ")</f>
        <v xml:space="preserve"> - </v>
      </c>
      <c r="AA15" s="332">
        <f>IF(ISNUMBER(IF(D_I="SI",Datos!L15,Datos!L15+Datos!AF15)),IF(D_I="SI",Datos!L15,Datos!L15+Datos!AF15)," - ")</f>
        <v>3146</v>
      </c>
      <c r="AB15" s="334">
        <f>IF(ISNUMBER(Datos!R15),Datos!R15," - ")</f>
        <v>322</v>
      </c>
      <c r="AC15" s="334">
        <f t="shared" ref="AC15:AC17" si="6">IF(ISNUMBER(AA15+AB15),AA15+AB15," - ")</f>
        <v>3468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259</v>
      </c>
      <c r="AJ15" s="231" t="str">
        <f>IF(ISNUMBER(Datos!BW15),Datos!BW15," - ")</f>
        <v xml:space="preserve"> - </v>
      </c>
      <c r="AK15" s="232" t="str">
        <f>IF(ISNUMBER(Datos!BX15),Datos!BX15," - ")</f>
        <v xml:space="preserve"> - </v>
      </c>
      <c r="AL15" s="243">
        <f>IF(ISNUMBER(NºAsuntos!G15/NºAsuntos!E15),NºAsuntos!G15/NºAsuntos!E15," - ")</f>
        <v>0.89947343226424126</v>
      </c>
      <c r="AM15" s="260">
        <f>IF(ISNUMBER(((NºAsuntos!I15/NºAsuntos!G15)*11)/factor_trimestre),((NºAsuntos!I15/NºAsuntos!G15)*11)/factor_trimestre," - ")</f>
        <v>5.0228845130388509</v>
      </c>
      <c r="AN15" s="244">
        <f>IF(ISNUMBER('Resol  Asuntos'!D15/NºAsuntos!G15),'Resol  Asuntos'!D15/NºAsuntos!G15," - ")</f>
        <v>0.1378392762107504</v>
      </c>
      <c r="AO15" s="245">
        <f>IF(ISNUMBER((NºAsuntos!C15+NºAsuntos!E15)/NºAsuntos!G15),(NºAsuntos!C15+NºAsuntos!E15)/NºAsuntos!G15," - ")</f>
        <v>2.6721660457690262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327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89</v>
      </c>
      <c r="X17" s="226">
        <f>IF(ISNUMBER(Datos!Q17),Datos!Q17," - ")</f>
        <v>0</v>
      </c>
      <c r="Y17" s="334">
        <f t="shared" si="7"/>
        <v>89</v>
      </c>
      <c r="Z17" s="335" t="str">
        <f>IF(ISNUMBER(Datos!CC17),Datos!CC17," - ")</f>
        <v xml:space="preserve"> - </v>
      </c>
      <c r="AA17" s="332">
        <f>IF(ISNUMBER(Datos!L17),Datos!L17,"-")</f>
        <v>331</v>
      </c>
      <c r="AB17" s="334">
        <f>IF(ISNUMBER(Datos!R17),Datos!R17," - ")</f>
        <v>2</v>
      </c>
      <c r="AC17" s="334">
        <f t="shared" si="6"/>
        <v>333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0.956989247311828</v>
      </c>
      <c r="AM17" s="260">
        <f>IF(ISNUMBER(((NºAsuntos!I17/NºAsuntos!G17)*11)/factor_trimestre),((NºAsuntos!I17/NºAsuntos!G17)*11)/factor_trimestre," - ")</f>
        <v>11.157303370786517</v>
      </c>
      <c r="AN17" s="244">
        <f>IF(ISNUMBER('Resol  Asuntos'!D17/NºAsuntos!G17),'Resol  Asuntos'!D17/NºAsuntos!G17," - ")</f>
        <v>0.10112359550561797</v>
      </c>
      <c r="AO17" s="245">
        <f>IF(ISNUMBER((NºAsuntos!C17+NºAsuntos!E17)/NºAsuntos!G17),(NºAsuntos!C17+NºAsuntos!E17)/NºAsuntos!G17," - ")</f>
        <v>4.7191011235955056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2936</v>
      </c>
      <c r="G18" s="866">
        <f>SUBTOTAL(9,G15:G17)</f>
        <v>3259</v>
      </c>
      <c r="H18" s="865">
        <f t="shared" ref="H18:O18" si="10">SUBTOTAL(9,H14:H17)</f>
        <v>0</v>
      </c>
      <c r="I18" s="867">
        <f t="shared" si="10"/>
        <v>0</v>
      </c>
      <c r="J18" s="867">
        <f t="shared" si="10"/>
        <v>0</v>
      </c>
      <c r="K18" s="867">
        <f t="shared" si="10"/>
        <v>0</v>
      </c>
      <c r="L18" s="867">
        <f t="shared" si="10"/>
        <v>90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1968</v>
      </c>
      <c r="X18" s="867">
        <f t="shared" si="11"/>
        <v>91</v>
      </c>
      <c r="Y18" s="868">
        <f t="shared" si="11"/>
        <v>1968</v>
      </c>
      <c r="Z18" s="868">
        <f t="shared" si="11"/>
        <v>0</v>
      </c>
      <c r="AA18" s="868">
        <f t="shared" si="11"/>
        <v>3477</v>
      </c>
      <c r="AB18" s="868">
        <f t="shared" si="11"/>
        <v>324</v>
      </c>
      <c r="AC18" s="868">
        <f t="shared" si="11"/>
        <v>3801</v>
      </c>
      <c r="AD18" s="868">
        <f t="shared" si="11"/>
        <v>0</v>
      </c>
      <c r="AE18" s="872">
        <f t="shared" si="11"/>
        <v>0</v>
      </c>
      <c r="AF18" s="865">
        <f t="shared" si="11"/>
        <v>0</v>
      </c>
      <c r="AG18" s="873">
        <f t="shared" si="11"/>
        <v>0</v>
      </c>
      <c r="AH18" s="870">
        <f t="shared" si="11"/>
        <v>0</v>
      </c>
      <c r="AI18" s="865">
        <f t="shared" si="11"/>
        <v>268</v>
      </c>
      <c r="AJ18" s="867">
        <f t="shared" si="11"/>
        <v>0</v>
      </c>
      <c r="AK18" s="870">
        <f t="shared" si="11"/>
        <v>0</v>
      </c>
      <c r="AL18" s="874">
        <f>IF(ISNUMBER(NºAsuntos!G18/NºAsuntos!E18),NºAsuntos!G18/NºAsuntos!E18," - ")</f>
        <v>0.90192483959670022</v>
      </c>
      <c r="AM18" s="874">
        <f>IF(ISNUMBER(((NºAsuntos!I18/NºAsuntos!G18)*11)/factor_trimestre),((NºAsuntos!I18/NºAsuntos!G18)*11)/factor_trimestre," - ")</f>
        <v>5.3003048780487809</v>
      </c>
      <c r="AN18" s="875">
        <f>IF(ISNUMBER('Resol  Asuntos'!D18/NºAsuntos!G18),'Resol  Asuntos'!D18/NºAsuntos!G18," - ")</f>
        <v>0.13617886178861788</v>
      </c>
      <c r="AO18" s="876">
        <f>IF(ISNUMBER((NºAsuntos!C18+NºAsuntos!E18)/NºAsuntos!G18),(NºAsuntos!C18+NºAsuntos!E18)/NºAsuntos!G18," - ")</f>
        <v>2.7647357723577235</v>
      </c>
      <c r="AP18" s="877" t="str">
        <f t="shared" si="2"/>
        <v xml:space="preserve"> - </v>
      </c>
      <c r="AQ18" s="877">
        <f>IF(ISNUMBER((H18-W18+K18)/(F18)),(H18-W18+K18)/(F18)," - ")</f>
        <v>-0.67029972752043598</v>
      </c>
      <c r="AR18" s="878">
        <f>IF(ISNUMBER((Datos!P18-Datos!Q18)/(Datos!R18-Datos!P18+Datos!Q18)),(Datos!P18-Datos!Q18)/(Datos!R18-Datos!P18+Datos!Q18)," - ")</f>
        <v>-3.0769230769230769E-3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3039</v>
      </c>
      <c r="G19" s="821">
        <f t="shared" si="13"/>
        <v>3362</v>
      </c>
      <c r="H19" s="820">
        <f t="shared" si="13"/>
        <v>0</v>
      </c>
      <c r="I19" s="822">
        <f t="shared" si="13"/>
        <v>0</v>
      </c>
      <c r="J19" s="822">
        <f t="shared" si="13"/>
        <v>0</v>
      </c>
      <c r="K19" s="881">
        <f t="shared" si="13"/>
        <v>0</v>
      </c>
      <c r="L19" s="822">
        <f t="shared" si="13"/>
        <v>530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2002</v>
      </c>
      <c r="X19" s="821">
        <f t="shared" si="14"/>
        <v>368</v>
      </c>
      <c r="Y19" s="828">
        <f t="shared" si="14"/>
        <v>2279</v>
      </c>
      <c r="Z19" s="828">
        <f t="shared" si="14"/>
        <v>0</v>
      </c>
      <c r="AA19" s="828">
        <f t="shared" si="14"/>
        <v>3567</v>
      </c>
      <c r="AB19" s="828">
        <f t="shared" si="14"/>
        <v>6820</v>
      </c>
      <c r="AC19" s="828">
        <f t="shared" si="14"/>
        <v>3939</v>
      </c>
      <c r="AD19" s="828">
        <f t="shared" si="14"/>
        <v>0</v>
      </c>
      <c r="AE19" s="830">
        <f t="shared" si="14"/>
        <v>0</v>
      </c>
      <c r="AF19" s="831">
        <f t="shared" si="14"/>
        <v>0</v>
      </c>
      <c r="AG19" s="832">
        <f t="shared" si="14"/>
        <v>0</v>
      </c>
      <c r="AH19" s="830">
        <f t="shared" si="14"/>
        <v>0</v>
      </c>
      <c r="AI19" s="820">
        <f t="shared" si="14"/>
        <v>1007</v>
      </c>
      <c r="AJ19" s="820">
        <f t="shared" si="14"/>
        <v>0</v>
      </c>
      <c r="AK19" s="830">
        <f t="shared" si="14"/>
        <v>0</v>
      </c>
      <c r="AL19" s="884">
        <f>IF(ISNUMBER(NºAsuntos!G19/NºAsuntos!E19),NºAsuntos!G19/NºAsuntos!E19," - ")</f>
        <v>0.88356929955290608</v>
      </c>
      <c r="AM19" s="885">
        <f>IF(ISNUMBER(((NºAsuntos!I19/NºAsuntos!G19)*11)/factor_trimestre),((NºAsuntos!I19/NºAsuntos!G19)*11)/factor_trimestre," - ")</f>
        <v>7.151170145477546</v>
      </c>
      <c r="AN19" s="885">
        <f>IF(ISNUMBER('Resol  Asuntos'!D19/NºAsuntos!G19),'Resol  Asuntos'!D19/NºAsuntos!G19," - ")</f>
        <v>0.21231288214210414</v>
      </c>
      <c r="AO19" s="886">
        <f>IF(ISNUMBER((NºAsuntos!C19+NºAsuntos!E19)/NºAsuntos!G19),(NºAsuntos!C19+NºAsuntos!E19)/NºAsuntos!G19," - ")</f>
        <v>3.3828800337339238</v>
      </c>
      <c r="AP19" s="887" t="str">
        <f t="shared" si="2"/>
        <v xml:space="preserve"> - </v>
      </c>
      <c r="AQ19" s="888">
        <f>IF(OR(ISNUMBER(FIND("01",Criterios!A8,1)),ISNUMBER(FIND("02",Criterios!A8,1)),ISNUMBER(FIND("03",Criterios!A8,1)),ISNUMBER(FIND("04",Criterios!A8,1))),(I19-W19+K19)/(F19-K19),(H19-W19+K19)/(F19-K19))</f>
        <v>-0.65876933201711085</v>
      </c>
      <c r="AR19" s="889">
        <f>IF(ISNUMBER((Datos!P19-Datos!Q19)/(Datos!R19-Datos!P19+Datos!Q19)),(Datos!P19-Datos!Q19)/(Datos!R19-Datos!P19+Datos!Q19)," - ")</f>
        <v>2.4331631120456592E-2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1344.8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2.3452078799117149</v>
      </c>
      <c r="F21" s="252">
        <f>IF(ISNUMBER(STDEV(F8:F18)),STDEV(F8:F18),"-")</f>
        <v>1635.6333126142099</v>
      </c>
      <c r="G21" s="253">
        <f>IF(ISNUMBER(STDEV(G8:G18)),STDEV(G8:G18),"-")</f>
        <v>1604.9467903952454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1025.6089410686707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288.77264908079997</v>
      </c>
      <c r="AJ21" s="252">
        <f t="shared" si="18"/>
        <v>0</v>
      </c>
      <c r="AK21" s="254">
        <f t="shared" si="18"/>
        <v>0</v>
      </c>
      <c r="AL21" s="249">
        <f t="shared" si="18"/>
        <v>0.27342139888417083</v>
      </c>
      <c r="AM21" s="250">
        <f t="shared" si="18"/>
        <v>2.516199008342642</v>
      </c>
      <c r="AN21" s="250">
        <f t="shared" si="18"/>
        <v>7.1760040314691229E-2</v>
      </c>
      <c r="AO21" s="251">
        <f t="shared" si="18"/>
        <v>0.83935938057029935</v>
      </c>
      <c r="AP21" s="291" t="str">
        <f t="shared" si="18"/>
        <v>-</v>
      </c>
      <c r="AQ21" s="292">
        <f t="shared" si="18"/>
        <v>0.24055959382183026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3L57PmF2+BSGVN6RBkIKAAUClw69Au8P9frk6ewsyDcbZjqslmKjaBI4SFFvZTzfqHuQmC0QwQkpr3+19LKkZg==" saltValue="rizAKrpZd8WlAw/2jrb5n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SANTIAGO DE COMPOSTELA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0.37417943107221008</v>
      </c>
      <c r="I9" s="350">
        <f>IF(ISNUMBER((Tasas!C9-Datos!BE9)/Datos!BE9),(Tasas!C9-Datos!BE9)/Datos!BE9," - ")</f>
        <v>5.8692093898672935E-2</v>
      </c>
      <c r="J9" s="349">
        <f>IF(ISNUMBER((Tasas!D9-Datos!BF9)/Datos!BF9),(Tasas!D9-Datos!BF9)/Datos!BF9," - ")</f>
        <v>-0.24137773495815004</v>
      </c>
      <c r="K9" s="351">
        <f>IF(ISNUMBER((Tasas!E9-Datos!BG9)/Datos!BG9),(Tasas!E9-Datos!BG9)/Datos!BG9," - ")</f>
        <v>4.4017029953489523E-2</v>
      </c>
      <c r="M9" t="e">
        <f>IF(Monitorios="SI",Datos!CE9,0)</f>
        <v>#REF!</v>
      </c>
      <c r="N9" t="e">
        <f>IF(Monitorios="SI",Datos!CF9,0)</f>
        <v>#REF!</v>
      </c>
      <c r="O9" t="e">
        <f>IF(Monitorios="SI",Datos!CG9,0)</f>
        <v>#REF!</v>
      </c>
      <c r="P9" t="e">
        <f>IF(Monitorios="SI",Datos!CH9,0)</f>
        <v>#REF!</v>
      </c>
      <c r="Q9">
        <f>IF(J_V="SI",0,Datos!AG9)</f>
        <v>119</v>
      </c>
      <c r="R9">
        <f>IF(J_V="SI",0,Datos!AH9)</f>
        <v>107</v>
      </c>
      <c r="S9">
        <f>IF(J_V="SI",0,Datos!AI9)</f>
        <v>105</v>
      </c>
      <c r="T9">
        <f>IF(J_V="SI",0,Datos!AJ9)</f>
        <v>121</v>
      </c>
    </row>
    <row r="10" spans="2:20" ht="14.25">
      <c r="B10" s="275" t="s">
        <v>242</v>
      </c>
      <c r="C10" s="7" t="str">
        <f>Datos!A10</f>
        <v>Jdos. Violencia contra la mujer</v>
      </c>
      <c r="D10" s="352">
        <f>IF(ISNUMBER((Datos!I10-Datos!S10)/Datos!S10),(Datos!I10-Datos!S10)/Datos!S10," - ")</f>
        <v>4.0404040404040407E-2</v>
      </c>
      <c r="E10" s="348">
        <f>IF(ISNUMBER((Datos!J10-Datos!T10)/Datos!T10),(Datos!J10-Datos!T10)/Datos!T10," - ")</f>
        <v>-0.53333333333333333</v>
      </c>
      <c r="F10" s="348">
        <f>IF(ISNUMBER((Datos!K10-Datos!U10)/Datos!U10),(Datos!K10-Datos!U10)/Datos!U10," - ")</f>
        <v>0.21428571428571427</v>
      </c>
      <c r="G10" s="349">
        <f>IF(ISNUMBER((Datos!L10-Datos!V10)/Datos!V10),(Datos!L10-Datos!V10)/Datos!V10," - ")</f>
        <v>-0.22413793103448276</v>
      </c>
      <c r="H10" s="230">
        <f>IF(ISNUMBER((Datos!M10-Datos!W10)/Datos!W10),(Datos!M10-Datos!W10)/Datos!W10," - ")</f>
        <v>-0.58333333333333337</v>
      </c>
      <c r="I10" s="350">
        <f>IF(ISNUMBER((Tasas!C10-Datos!BE10)/Datos!BE10),(Tasas!C10-Datos!BE10)/Datos!BE10," - ")</f>
        <v>-0.36105476673428</v>
      </c>
      <c r="J10" s="349">
        <f>IF(ISNUMBER((Tasas!D10-Datos!BF10)/Datos!BF10),(Tasas!D10-Datos!BF10)/Datos!BF10," - ")</f>
        <v>-0.65686274509803921</v>
      </c>
      <c r="K10" s="351">
        <f>IF(ISNUMBER((Tasas!E10-Datos!BG10)/Datos!BG10),(Tasas!E10-Datos!BG10)/Datos!BG10," - ")</f>
        <v>-0.29084967320261446</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2.9126213592233011E-2</v>
      </c>
      <c r="I11" s="350">
        <f>IF(ISNUMBER((Tasas!C11-Datos!BE11)/Datos!BE11),(Tasas!C11-Datos!BE11)/Datos!BE11," - ")</f>
        <v>-0.30164161281639479</v>
      </c>
      <c r="J11" s="349">
        <f>IF(ISNUMBER((Tasas!D11-Datos!BF11)/Datos!BF11),(Tasas!D11-Datos!BF11)/Datos!BF11," - ")</f>
        <v>-0.77229013773499122</v>
      </c>
      <c r="K11" s="351">
        <f>IF(ISNUMBER((Tasas!E11-Datos!BG11)/Datos!BG11),(Tasas!E11-Datos!BG11)/Datos!BG11," - ")</f>
        <v>-0.20717264449079406</v>
      </c>
      <c r="M11" t="e">
        <f>IF(Monitorios="SI",Datos!CE11,0)</f>
        <v>#REF!</v>
      </c>
      <c r="N11" t="e">
        <f>IF(Monitorios="SI",Datos!CF11,0)</f>
        <v>#REF!</v>
      </c>
      <c r="O11" t="e">
        <f>IF(Monitorios="SI",Datos!CG11,0)</f>
        <v>#REF!</v>
      </c>
      <c r="P11" t="e">
        <f>IF(Monitorios="SI",Datos!CH11,0)</f>
        <v>#REF!</v>
      </c>
      <c r="Q11">
        <f>IF(J_V="SI",0,Datos!AG11)</f>
        <v>164</v>
      </c>
      <c r="R11">
        <f>IF(J_V="SI",0,Datos!AH11)</f>
        <v>196</v>
      </c>
      <c r="S11">
        <f>IF(J_V="SI",0,Datos!AI11)</f>
        <v>171</v>
      </c>
      <c r="T11">
        <f>IF(J_V="SI",0,Datos!AJ11)</f>
        <v>189</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0.29195804195804198</v>
      </c>
      <c r="I13" s="357">
        <f>IF(ISNUMBER((Tasas!C13-Datos!BE13)/Datos!BE13),(Tasas!C13-Datos!BE13)/Datos!BE13," - ")</f>
        <v>-1.3673422376351302E-2</v>
      </c>
      <c r="J13" s="355">
        <f>IF(ISNUMBER((Tasas!D13-Datos!BF13)/Datos!BF13),(Tasas!D13-Datos!BF13)/Datos!BF13," - ")</f>
        <v>-0.42453349901625759</v>
      </c>
      <c r="K13" s="358">
        <f>IF(ISNUMBER((Tasas!E13-Datos!BG13)/Datos!BG13),(Tasas!E13-Datos!BG13)/Datos!BG13," - ")</f>
        <v>-1.0131426638488339E-2</v>
      </c>
      <c r="M13" t="e">
        <f>IF(Monitorios="SI",Datos!CE13,0)</f>
        <v>#REF!</v>
      </c>
      <c r="N13" t="e">
        <f>IF(Monitorios="SI",Datos!CF13,0)</f>
        <v>#REF!</v>
      </c>
      <c r="O13" t="e">
        <f>IF(Monitorios="SI",Datos!CG13,0)</f>
        <v>#REF!</v>
      </c>
      <c r="P13" t="e">
        <f>IF(Monitorios="SI",Datos!CH13,0)</f>
        <v>#REF!</v>
      </c>
      <c r="Q13">
        <f>IF(J_V="SI",0,Datos!AG13)</f>
        <v>283</v>
      </c>
      <c r="R13">
        <f>IF(J_V="SI",0,Datos!AH13)</f>
        <v>303</v>
      </c>
      <c r="S13">
        <f>IF(J_V="SI",0,Datos!AI13)</f>
        <v>276</v>
      </c>
      <c r="T13">
        <f>IF(J_V="SI",0,Datos!AJ13)</f>
        <v>310</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0.26433807675722293</v>
      </c>
      <c r="E15" s="348">
        <f>IF(ISNUMBER(
   IF(D_I="SI",(Datos!J15-Datos!T15)/Datos!T15,(Datos!J15+Datos!AD15-(Datos!T15+Datos!AL15))/(Datos!T15+Datos!AL15))
     ),IF(D_I="SI",(Datos!J15-Datos!T15)/Datos!T15,(Datos!J15+Datos!AD15-(Datos!T15+Datos!AL15))/(Datos!T15+Datos!AL15))," - ")</f>
        <v>-7.8111209179170346E-2</v>
      </c>
      <c r="F15" s="348">
        <f>IF(ISNUMBER(
   IF(D_I="SI",(Datos!K15-Datos!U15)/Datos!U15,(Datos!K15+Datos!AE15-(Datos!U15+Datos!AM15))/(Datos!U15+Datos!AM15))
     ),IF(D_I="SI",(Datos!K15-Datos!U15)/Datos!U15,(Datos!K15+Datos!AE15-(Datos!U15+Datos!AM15))/(Datos!U15+Datos!AM15))," - ")</f>
        <v>-0.13688562241616903</v>
      </c>
      <c r="G15" s="349">
        <f>IF(ISNUMBER(
   IF(D_I="SI",(Datos!L15-Datos!V15)/Datos!V15,(Datos!L15+Datos!AF15-(Datos!V15+Datos!AN15))/(Datos!V15+Datos!AN15))
     ),IF(D_I="SI",(Datos!L15-Datos!V15)/Datos!V15,(Datos!L15+Datos!AF15-(Datos!V15+Datos!AN15))/(Datos!V15+Datos!AN15))," - ")</f>
        <v>0.30107526881720431</v>
      </c>
      <c r="H15" s="230">
        <f>IF(ISNUMBER((Datos!M15-Datos!W15)/Datos!W15),(Datos!M15-Datos!W15)/Datos!W15," - ")</f>
        <v>2.3715415019762844E-2</v>
      </c>
      <c r="I15" s="350">
        <f>IF(ISNUMBER((Tasas!C15-Datos!BE15)/Datos!BE15),(Tasas!C15-Datos!BE15)/Datos!BE15," - ")</f>
        <v>0.50741929761312055</v>
      </c>
      <c r="J15" s="349">
        <f>IF(ISNUMBER((Tasas!D15-Datos!BF15)/Datos!BF15),(Tasas!D15-Datos!BF15)/Datos!BF15," - ")</f>
        <v>0.1860715585407258</v>
      </c>
      <c r="K15" s="351">
        <f>IF(ISNUMBER((Tasas!E15-Datos!BG15)/Datos!BG15),(Tasas!E15-Datos!BG15)/Datos!BG15," - ")</f>
        <v>0.2687689163880414</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0.76756756756756761</v>
      </c>
      <c r="E17" s="348">
        <f>IF(ISNUMBER(
   IF(D_I="SI",(Datos!J17-Datos!T17)/Datos!T17,(Datos!J17+Datos!AD17-(Datos!T17+Datos!AL17))/(Datos!T17+Datos!AL17))
     ),IF(D_I="SI",(Datos!J17-Datos!T17)/Datos!T17,(Datos!J17+Datos!AD17-(Datos!T17+Datos!AL17))/(Datos!T17+Datos!AL17))," - ")</f>
        <v>-0.38</v>
      </c>
      <c r="F17" s="348">
        <f>IF(ISNUMBER(
   IF(D_I="SI",(Datos!K17-Datos!U17)/Datos!U17,(Datos!K17+Datos!AE17-(Datos!U17+Datos!AM17))/(Datos!U17+Datos!AM17))
     ),IF(D_I="SI",(Datos!K17-Datos!U17)/Datos!U17,(Datos!K17+Datos!AE17-(Datos!U17+Datos!AM17))/(Datos!U17+Datos!AM17))," - ")</f>
        <v>-0.27049180327868855</v>
      </c>
      <c r="G17" s="349">
        <f>IF(ISNUMBER(
   IF(D_I="SI",(Datos!L17-Datos!V17)/Datos!V17,(Datos!L17+Datos!AF17-(Datos!V17+Datos!AN17))/(Datos!V17+Datos!AN17))
     ),IF(D_I="SI",(Datos!L17-Datos!V17)/Datos!V17,(Datos!L17+Datos!AF17-(Datos!V17+Datos!AN17))/(Datos!V17+Datos!AN17))," - ")</f>
        <v>0.5539906103286385</v>
      </c>
      <c r="H17" s="230">
        <f>IF(ISNUMBER((Datos!M17-Datos!W17)/Datos!W17),(Datos!M17-Datos!W17)/Datos!W17," - ")</f>
        <v>-0.5714285714285714</v>
      </c>
      <c r="I17" s="350">
        <f>IF(ISNUMBER((Tasas!C17-Datos!BE17)/Datos!BE17),(Tasas!C17-Datos!BE17)/Datos!BE17," - ")</f>
        <v>1.130189375956111</v>
      </c>
      <c r="J17" s="349">
        <f>IF(ISNUMBER((Tasas!D17-Datos!BF17)/Datos!BF17),(Tasas!D17-Datos!BF17)/Datos!BF17," - ")</f>
        <v>-0.41252006420545745</v>
      </c>
      <c r="K17" s="351">
        <f>IF(ISNUMBER((Tasas!E17-Datos!BG17)/Datos!BG17),(Tasas!E17-Datos!BG17)/Datos!BG17," - ")</f>
        <v>0.71859802113030347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0.30151757188498401</v>
      </c>
      <c r="E18" s="354">
        <f>IF(ISNUMBER(
   IF(D_I="SI",(Datos!J18-Datos!T18)/Datos!T18,(Datos!J18+Datos!AD18-(Datos!T18+Datos!AL18))/(Datos!T18+Datos!AL18))
     ),IF(D_I="SI",(Datos!J18-Datos!T18)/Datos!T18,(Datos!J18+Datos!AD18-(Datos!T18+Datos!AL18))/(Datos!T18+Datos!AL18))," - ")</f>
        <v>-9.6854304635761584E-2</v>
      </c>
      <c r="F18" s="354">
        <f>IF(ISNUMBER(
   IF(D_I="SI",(Datos!K18-Datos!U18)/Datos!U18,(Datos!K18+Datos!AE18-(Datos!U18+Datos!AM18))/(Datos!U18+Datos!AM18))
     ),IF(D_I="SI",(Datos!K18-Datos!U18)/Datos!U18,(Datos!K18+Datos!AE18-(Datos!U18+Datos!AM18))/(Datos!U18+Datos!AM18))," - ")</f>
        <v>-0.14397564158329709</v>
      </c>
      <c r="G18" s="355">
        <f>IF(ISNUMBER(
   IF(D_I="SI",(Datos!L18-Datos!V18)/Datos!V18,(Datos!L18+Datos!AF18-(Datos!V18+Datos!AN18))/(Datos!V18+Datos!AN18))
     ),IF(D_I="SI",(Datos!L18-Datos!V18)/Datos!V18,(Datos!L18+Datos!AF18-(Datos!V18+Datos!AN18))/(Datos!V18+Datos!AN18))," - ")</f>
        <v>0.32155074116305588</v>
      </c>
      <c r="H18" s="356">
        <f>IF(ISNUMBER((Datos!M18-Datos!W18)/Datos!W18),(Datos!M18-Datos!W18)/Datos!W18," - ")</f>
        <v>-2.1897810218978103E-2</v>
      </c>
      <c r="I18" s="357">
        <f>IF(ISNUMBER((Tasas!C18-Datos!BE18)/Datos!BE18),(Tasas!C18-Datos!BE18)/Datos!BE18," - ")</f>
        <v>0.54382375708021624</v>
      </c>
      <c r="J18" s="355">
        <f>IF(ISNUMBER((Tasas!D18-Datos!BF18)/Datos!BF18),(Tasas!D18-Datos!BF18)/Datos!BF18," - ")</f>
        <v>0.14261023084683389</v>
      </c>
      <c r="K18" s="358">
        <f>IF(ISNUMBER((Tasas!E18-Datos!BG18)/Datos!BG18),(Tasas!E18-Datos!BG18)/Datos!BG18," - ")</f>
        <v>0.29189584159561105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0.30302660483280447</v>
      </c>
      <c r="E19" s="363">
        <f>IF(ISNUMBER(
   IF(J_V="SI",(Datos!J19-Datos!T19)/Datos!T19,(Datos!J19+Datos!Z19-(Datos!T19+Datos!AH19))/(Datos!T19+Datos!AH19))
     ),IF(J_V="SI",(Datos!J19-Datos!T19)/Datos!T19,(Datos!J19+Datos!Z19-(Datos!T19+Datos!AH19))/(Datos!T19+Datos!AH19))," - ")</f>
        <v>-1.2327506899724011E-2</v>
      </c>
      <c r="F19" s="363">
        <f>IF(ISNUMBER(
   IF(J_V="SI",(Datos!K19-Datos!U19)/Datos!U19,(Datos!K19+Datos!AA19-(Datos!U19+Datos!AI19))/(Datos!U19+Datos!AI19))
     ),IF(J_V="SI",(Datos!K19-Datos!U19)/Datos!U19,(Datos!K19+Datos!AA19-(Datos!U19+Datos!AI19))/(Datos!U19+Datos!AI19))," - ")</f>
        <v>4.1273326015367727E-2</v>
      </c>
      <c r="G19" s="364">
        <f>IF(ISNUMBER(
   IF(J_V="SI",(Datos!L19-Datos!V19)/Datos!V19,(Datos!L19+Datos!AB19-(Datos!V19+Datos!AJ19))/(Datos!V19+Datos!AJ19))
     ),IF(J_V="SI",(Datos!L19-Datos!V19)/Datos!V19,(Datos!L19+Datos!AB19-(Datos!V19+Datos!AJ19))/(Datos!V19+Datos!AJ19))," - ")</f>
        <v>0.24460590048436812</v>
      </c>
      <c r="H19" s="365">
        <f>IF(ISNUMBER((Datos!M19-Datos!W19)/Datos!W19),(Datos!M19-Datos!W19)/Datos!W19," - ")</f>
        <v>0.19030732860520094</v>
      </c>
      <c r="I19" s="362">
        <f>IF(ISNUMBER((Tasas!C19-Datos!BE19)/Datos!BE19),(Tasas!C19-Datos!BE19)/Datos!BE19," - ")</f>
        <v>0.19527300794988336</v>
      </c>
      <c r="J19" s="363">
        <f>IF(ISNUMBER((Tasas!D19-Datos!BF19)/Datos!BF19),(Tasas!D19-Datos!BF19)/Datos!BF19," - ")</f>
        <v>-0.26624796801420003</v>
      </c>
      <c r="K19" s="364">
        <f>IF(ISNUMBER((Tasas!E19-Datos!BG19)/Datos!BG19),(Tasas!E19-Datos!BG19)/Datos!BG19," - ")</f>
        <v>0.13060522075412881</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0.30535748966739928</v>
      </c>
      <c r="E21" s="278">
        <f t="shared" si="1"/>
        <v>0.22228207799572489</v>
      </c>
      <c r="F21" s="278">
        <f t="shared" si="1"/>
        <v>0.20828445442723031</v>
      </c>
      <c r="G21" s="279">
        <f t="shared" si="1"/>
        <v>0.32882654582423898</v>
      </c>
      <c r="H21" s="285">
        <f t="shared" si="1"/>
        <v>0.37947856768278704</v>
      </c>
      <c r="I21" s="277">
        <f t="shared" si="1"/>
        <v>0.53325945671390329</v>
      </c>
      <c r="J21" s="278">
        <f t="shared" si="1"/>
        <v>0.36817000762071889</v>
      </c>
      <c r="K21" s="279">
        <f t="shared" si="1"/>
        <v>0.34362250785561244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JRNrtyWowDFw3o4FvCcXzkWryUKpZZqnju3q7RUNapnJ+ZU/RXOqyLLFFCPe0QW2n3NxgbQBu3O8u+a7stVlw==" saltValue="kzsUwZ8HbofrzlqkIMKGB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